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mplopes01\Documents\2_Boletins\BTL\"/>
    </mc:Choice>
  </mc:AlternateContent>
  <xr:revisionPtr revIDLastSave="0" documentId="13_ncr:1_{867FD348-3F8C-487E-9D95-62F98FAD37F0}" xr6:coauthVersionLast="47" xr6:coauthVersionMax="47" xr10:uidLastSave="{00000000-0000-0000-0000-000000000000}"/>
  <workbookProtection workbookAlgorithmName="SHA-512" workbookHashValue="CviLDypRfn7ZWlcjxC3wIgF/zZqeyJr/SFm1wjM1VHsjhZkfTEMJOf+/pdLrzq48iargeRBZdeilqjuTpC3BVw==" workbookSaltValue="qk1ZrXQEiZRtliw/uKLucg==" workbookSpinCount="100000" lockStructure="1"/>
  <bookViews>
    <workbookView xWindow="-108" yWindow="-108" windowWidth="23256" windowHeight="12576" tabRatio="787" xr2:uid="{00000000-000D-0000-FFFF-FFFF00000000}"/>
  </bookViews>
  <sheets>
    <sheet name="Serviços" sheetId="6" r:id="rId1"/>
    <sheet name="Ler+" sheetId="16" r:id="rId2"/>
    <sheet name="Stand" sheetId="44" r:id="rId3"/>
    <sheet name="T1" sheetId="13" state="hidden" r:id="rId4"/>
    <sheet name="T2" sheetId="5" state="hidden" r:id="rId5"/>
    <sheet name="L1" sheetId="31" state="hidden" r:id="rId6"/>
    <sheet name="L2" sheetId="17" state="hidden" r:id="rId7"/>
    <sheet name="S1" sheetId="45" state="hidden" r:id="rId8"/>
    <sheet name="S2" sheetId="46" state="hidden" r:id="rId9"/>
  </sheets>
  <definedNames>
    <definedName name="_xlnm.Print_Area" localSheetId="1">'Ler+'!$A$1:$S$164</definedName>
    <definedName name="_xlnm.Print_Area" localSheetId="0">Serviços!$A$1:$S$181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1" i="6" l="1"/>
  <c r="AT14" i="6"/>
  <c r="AT15" i="6"/>
  <c r="AT16" i="6"/>
  <c r="AT13" i="6"/>
  <c r="Q86" i="6"/>
  <c r="B11" i="13" l="1"/>
  <c r="C7" i="13"/>
  <c r="T40" i="6" s="1"/>
  <c r="C6" i="13"/>
  <c r="C5" i="13"/>
  <c r="C4" i="13"/>
  <c r="I159" i="6"/>
  <c r="AA7" i="6" l="1"/>
  <c r="X31" i="6" l="1"/>
  <c r="AA17" i="6" l="1"/>
  <c r="AB17" i="6"/>
  <c r="AB16" i="6"/>
  <c r="AB15" i="6"/>
  <c r="AB14" i="6"/>
  <c r="AB13" i="6"/>
  <c r="AB12" i="6"/>
  <c r="AB11" i="6"/>
  <c r="AB10" i="6"/>
  <c r="AB9" i="6"/>
  <c r="AB8" i="6"/>
  <c r="AB7" i="6"/>
  <c r="I87" i="44"/>
  <c r="I74" i="44"/>
  <c r="I61" i="44"/>
  <c r="I43" i="44"/>
  <c r="I42" i="44"/>
  <c r="I29" i="44"/>
  <c r="I28" i="44"/>
  <c r="AA16" i="6" l="1"/>
  <c r="AA15" i="6"/>
  <c r="AA14" i="6"/>
  <c r="AA13" i="6"/>
  <c r="AA12" i="6"/>
  <c r="AA11" i="6"/>
  <c r="AA10" i="6"/>
  <c r="AA9" i="6"/>
  <c r="AA8" i="6"/>
  <c r="I131" i="44" l="1"/>
  <c r="I130" i="44"/>
  <c r="I129" i="44"/>
  <c r="I104" i="44"/>
  <c r="I103" i="44"/>
  <c r="I102" i="44"/>
  <c r="AW11" i="6" l="1"/>
  <c r="AV11" i="6"/>
  <c r="AL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26" i="6"/>
  <c r="AF27" i="6"/>
  <c r="AF28" i="6"/>
  <c r="AF29" i="6"/>
  <c r="AF30" i="6"/>
  <c r="AF31" i="6"/>
  <c r="AF32" i="6"/>
  <c r="AF33" i="6"/>
  <c r="AF34" i="6"/>
  <c r="AF35" i="6"/>
  <c r="AF36" i="6"/>
  <c r="AF37" i="6"/>
  <c r="AF38" i="6"/>
  <c r="AF39" i="6"/>
  <c r="AF40" i="6"/>
  <c r="AF41" i="6"/>
  <c r="AF42" i="6"/>
  <c r="AF43" i="6"/>
  <c r="AF44" i="6"/>
  <c r="AF45" i="6"/>
  <c r="AF46" i="6"/>
  <c r="AF47" i="6"/>
  <c r="AF48" i="6"/>
  <c r="AF49" i="6"/>
  <c r="AF50" i="6"/>
  <c r="AF51" i="6"/>
  <c r="AF52" i="6"/>
  <c r="AF53" i="6"/>
  <c r="AF54" i="6"/>
  <c r="AF55" i="6"/>
  <c r="AF56" i="6"/>
  <c r="AF57" i="6"/>
  <c r="AF58" i="6"/>
  <c r="AF59" i="6"/>
  <c r="AF60" i="6"/>
  <c r="AF61" i="6"/>
  <c r="AF62" i="6"/>
  <c r="AF63" i="6"/>
  <c r="AF64" i="6"/>
  <c r="AF65" i="6"/>
  <c r="AF66" i="6"/>
  <c r="AF67" i="6"/>
  <c r="AF68" i="6"/>
  <c r="AF69" i="6"/>
  <c r="AF70" i="6"/>
  <c r="AF71" i="6"/>
  <c r="AF72" i="6"/>
  <c r="AF73" i="6"/>
  <c r="AF74" i="6"/>
  <c r="AF75" i="6"/>
  <c r="AF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155" i="6"/>
  <c r="AE156" i="6"/>
  <c r="AE157" i="6"/>
  <c r="AE158" i="6"/>
  <c r="AE159" i="6"/>
  <c r="AE160" i="6"/>
  <c r="AE161" i="6"/>
  <c r="AE162" i="6"/>
  <c r="AE163" i="6"/>
  <c r="AE164" i="6"/>
  <c r="AE165" i="6"/>
  <c r="AE166" i="6"/>
  <c r="AE167" i="6"/>
  <c r="AE168" i="6"/>
  <c r="AE169" i="6"/>
  <c r="AE170" i="6"/>
  <c r="AE26" i="6"/>
  <c r="AO27" i="6"/>
  <c r="AO28" i="6"/>
  <c r="AO29" i="6"/>
  <c r="AO30" i="6"/>
  <c r="AO31" i="6"/>
  <c r="AO32" i="6"/>
  <c r="AO33" i="6"/>
  <c r="AO34" i="6"/>
  <c r="AO35" i="6"/>
  <c r="AO36" i="6"/>
  <c r="AO37" i="6"/>
  <c r="AO38" i="6"/>
  <c r="AO39" i="6"/>
  <c r="AO40" i="6"/>
  <c r="AO41" i="6"/>
  <c r="AO42" i="6"/>
  <c r="AO43" i="6"/>
  <c r="AO26" i="6"/>
  <c r="Z95" i="6"/>
  <c r="Z96" i="6"/>
  <c r="Z94" i="6"/>
  <c r="Z88" i="6"/>
  <c r="Z89" i="6"/>
  <c r="Z90" i="6"/>
  <c r="Z91" i="6"/>
  <c r="Z87" i="6"/>
  <c r="Z83" i="6"/>
  <c r="Z84" i="6"/>
  <c r="Z82" i="6"/>
  <c r="Z81" i="6"/>
  <c r="Z80" i="6"/>
  <c r="Z77" i="6"/>
  <c r="Z76" i="6"/>
  <c r="Z72" i="6"/>
  <c r="Z66" i="6"/>
  <c r="Z67" i="6"/>
  <c r="Z65" i="6"/>
  <c r="Z71" i="6"/>
  <c r="F151" i="16" l="1"/>
  <c r="P150" i="6"/>
  <c r="N162" i="6"/>
  <c r="X15" i="6" l="1"/>
  <c r="U3" i="6"/>
  <c r="U2" i="6"/>
  <c r="V1" i="6"/>
  <c r="J154" i="6" s="1"/>
  <c r="C12" i="13" l="1"/>
  <c r="W1" i="6"/>
  <c r="C10" i="13"/>
  <c r="C9" i="13"/>
  <c r="T39" i="6" s="1"/>
  <c r="K4" i="6" l="1"/>
  <c r="I158" i="6"/>
  <c r="J16" i="16"/>
  <c r="AT5" i="6"/>
  <c r="AT3" i="6"/>
  <c r="AU3" i="6" s="1"/>
  <c r="AU5" i="6" l="1"/>
  <c r="Q34" i="6" l="1"/>
  <c r="Q32" i="6"/>
  <c r="Q30" i="6"/>
  <c r="Q103" i="6" l="1"/>
  <c r="Q132" i="6"/>
  <c r="AM27" i="6" l="1"/>
  <c r="AM28" i="6"/>
  <c r="AM29" i="6"/>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M59" i="6"/>
  <c r="AM60" i="6"/>
  <c r="AM61" i="6"/>
  <c r="AM62" i="6"/>
  <c r="AM63" i="6"/>
  <c r="AM64" i="6"/>
  <c r="AM65" i="6"/>
  <c r="AM66" i="6"/>
  <c r="AM67" i="6"/>
  <c r="AM68" i="6"/>
  <c r="AM69" i="6"/>
  <c r="AM70" i="6"/>
  <c r="AM71" i="6"/>
  <c r="AM72" i="6"/>
  <c r="AM73" i="6"/>
  <c r="AM74" i="6"/>
  <c r="AM75" i="6"/>
  <c r="AM26" i="6"/>
  <c r="AB92" i="6"/>
  <c r="L123" i="6" s="1"/>
  <c r="AB63" i="6"/>
  <c r="AA63" i="6"/>
  <c r="P144" i="6" s="1"/>
  <c r="AD26" i="6" l="1"/>
  <c r="Z69" i="6" l="1"/>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T4" i="6"/>
  <c r="AU4" i="6" s="1"/>
  <c r="AT6" i="6"/>
  <c r="AU6" i="6" l="1"/>
  <c r="AV1" i="6"/>
  <c r="Q80" i="6" s="1"/>
  <c r="AW1" i="6"/>
  <c r="J80" i="6" s="1"/>
  <c r="AH12" i="6" l="1"/>
  <c r="P84" i="6" s="1"/>
  <c r="AG12" i="6"/>
  <c r="AJ12" i="6"/>
  <c r="P148" i="6" s="1"/>
  <c r="AF12" i="6"/>
  <c r="AI12" i="6"/>
  <c r="AN2" i="6"/>
  <c r="AJ2" i="6"/>
  <c r="AE12" i="6"/>
  <c r="AM2" i="6"/>
  <c r="AI2" i="6"/>
  <c r="AD12" i="6"/>
  <c r="AA94" i="6" s="1"/>
  <c r="AL2" i="6"/>
  <c r="AK2" i="6"/>
  <c r="AH2" i="6"/>
  <c r="AD2" i="6"/>
  <c r="AF2" i="6"/>
  <c r="AE2" i="6"/>
  <c r="AG2" i="6"/>
  <c r="E102" i="16" l="1"/>
  <c r="AA95" i="6"/>
  <c r="G102" i="16" s="1"/>
  <c r="AA96" i="6"/>
  <c r="I128" i="44"/>
  <c r="I101" i="44"/>
  <c r="I100" i="44"/>
  <c r="I102" i="16" l="1"/>
  <c r="AA92" i="6"/>
  <c r="P123" i="6" s="1"/>
  <c r="AB78" i="6" l="1"/>
  <c r="AA78" i="6"/>
  <c r="AP3" i="6"/>
  <c r="AO3" i="6"/>
  <c r="AJ26" i="6"/>
  <c r="AH26" i="6"/>
  <c r="AI26" i="6"/>
  <c r="AB85" i="6" l="1"/>
  <c r="L111" i="6" s="1"/>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Q51" i="6"/>
  <c r="Q146" i="6"/>
  <c r="M21" i="16" l="1"/>
  <c r="K21" i="16"/>
  <c r="I21" i="16"/>
  <c r="G21" i="16"/>
  <c r="E21" i="16"/>
  <c r="L45" i="6"/>
  <c r="Q45" i="6"/>
  <c r="Z74" i="6" l="1"/>
  <c r="AJ136" i="6" l="1"/>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2" i="6"/>
  <c r="AJ163" i="6"/>
  <c r="AJ164" i="6"/>
  <c r="AJ165" i="6"/>
  <c r="AJ166" i="6"/>
  <c r="AJ167" i="6"/>
  <c r="AJ168" i="6"/>
  <c r="AJ169" i="6"/>
  <c r="AJ170" i="6"/>
  <c r="G128" i="6"/>
  <c r="U31" i="6" l="1"/>
  <c r="AS64" i="6"/>
  <c r="AS51" i="6" s="1"/>
  <c r="AS65" i="6"/>
  <c r="AS52" i="6" s="1"/>
  <c r="AS66" i="6"/>
  <c r="AS53" i="6" s="1"/>
  <c r="AS67" i="6"/>
  <c r="AS63" i="6"/>
  <c r="AS50" i="6" s="1"/>
  <c r="AS6" i="6"/>
  <c r="AS3" i="6" s="1"/>
  <c r="AS7" i="6"/>
  <c r="AS4" i="6" s="1"/>
  <c r="AS5" i="6"/>
  <c r="AS2" i="6" s="1"/>
  <c r="AS54" i="6" l="1"/>
  <c r="V12" i="6"/>
  <c r="V11" i="6"/>
  <c r="U26" i="6"/>
  <c r="U21" i="6"/>
  <c r="U16" i="6"/>
  <c r="U11" i="6"/>
  <c r="G19" i="6" s="1"/>
  <c r="AS27" i="6"/>
  <c r="AS24" i="6" s="1"/>
  <c r="AS26" i="6"/>
  <c r="AS23" i="6" s="1"/>
  <c r="AS25" i="6"/>
  <c r="AS22" i="6" s="1"/>
  <c r="X41" i="6" l="1"/>
  <c r="X19" i="6"/>
  <c r="W4" i="6"/>
  <c r="X6" i="6"/>
  <c r="X26" i="6"/>
  <c r="X12" i="6"/>
  <c r="X5" i="6"/>
  <c r="X4" i="6"/>
  <c r="X28" i="6"/>
  <c r="X27" i="6"/>
  <c r="L124" i="6"/>
  <c r="L112" i="6"/>
  <c r="H62" i="6"/>
  <c r="F16" i="6"/>
  <c r="AI140" i="6"/>
  <c r="AI144" i="6"/>
  <c r="AI148" i="6"/>
  <c r="AI152" i="6"/>
  <c r="AI156" i="6"/>
  <c r="AI160" i="6"/>
  <c r="AI164" i="6"/>
  <c r="AI168" i="6"/>
  <c r="AI138" i="6"/>
  <c r="AI154" i="6"/>
  <c r="AI170" i="6"/>
  <c r="AI137" i="6"/>
  <c r="AI145" i="6"/>
  <c r="AI149" i="6"/>
  <c r="AI157" i="6"/>
  <c r="AI161" i="6"/>
  <c r="AI169" i="6"/>
  <c r="AI139" i="6"/>
  <c r="AI143" i="6"/>
  <c r="AI147" i="6"/>
  <c r="AI151" i="6"/>
  <c r="AI155" i="6"/>
  <c r="AI159" i="6"/>
  <c r="AI163" i="6"/>
  <c r="AI167" i="6"/>
  <c r="AI142" i="6"/>
  <c r="AI146" i="6"/>
  <c r="AI150" i="6"/>
  <c r="AI158" i="6"/>
  <c r="AI162" i="6"/>
  <c r="AI166" i="6"/>
  <c r="AI141" i="6"/>
  <c r="AI153" i="6"/>
  <c r="AI165" i="6"/>
  <c r="A1" i="45" l="1"/>
  <c r="K1" i="45" l="1"/>
  <c r="O1" i="45"/>
  <c r="M11" i="45"/>
  <c r="M1" i="45"/>
  <c r="K6" i="45"/>
  <c r="I46" i="45"/>
  <c r="E15" i="44" s="1"/>
  <c r="G51" i="45"/>
  <c r="G6" i="45"/>
  <c r="E21" i="45"/>
  <c r="G46" i="45"/>
  <c r="I41" i="45"/>
  <c r="C26" i="45"/>
  <c r="I36" i="45"/>
  <c r="C51" i="45"/>
  <c r="C46" i="45"/>
  <c r="G36" i="45"/>
  <c r="G41" i="45"/>
  <c r="E51" i="45"/>
  <c r="K26" i="45"/>
  <c r="K36" i="45"/>
  <c r="K31" i="45"/>
  <c r="E6" i="45"/>
  <c r="I11" i="45"/>
  <c r="M6" i="45"/>
  <c r="K16" i="45"/>
  <c r="K11" i="45"/>
  <c r="I6" i="45"/>
  <c r="E31" i="45"/>
  <c r="I16" i="45"/>
  <c r="I31" i="45"/>
  <c r="K21" i="45"/>
  <c r="E16" i="45"/>
  <c r="I21" i="45"/>
  <c r="E46" i="45"/>
  <c r="E41" i="45"/>
  <c r="E36" i="45"/>
  <c r="K28" i="44" s="1"/>
  <c r="G16" i="45"/>
  <c r="F58" i="44" s="1"/>
  <c r="G26" i="45"/>
  <c r="G21" i="45"/>
  <c r="E11" i="45"/>
  <c r="E26" i="45"/>
  <c r="G1" i="45"/>
  <c r="C1" i="45"/>
  <c r="C21" i="45"/>
  <c r="C41" i="45"/>
  <c r="A34" i="45"/>
  <c r="A14" i="45"/>
  <c r="G11" i="45"/>
  <c r="C36" i="45"/>
  <c r="I26" i="45"/>
  <c r="F46" i="44" s="1"/>
  <c r="C6" i="45"/>
  <c r="C31" i="45"/>
  <c r="A44" i="45"/>
  <c r="M59" i="44" s="1"/>
  <c r="A29" i="45"/>
  <c r="A9" i="45"/>
  <c r="E1" i="45"/>
  <c r="C16" i="45"/>
  <c r="A19" i="45"/>
  <c r="C11" i="45"/>
  <c r="G31" i="45"/>
  <c r="A39" i="45"/>
  <c r="A24" i="45"/>
  <c r="A4" i="45"/>
  <c r="I1" i="45"/>
  <c r="E46" i="44" l="1"/>
  <c r="F59" i="44"/>
  <c r="F51" i="44"/>
  <c r="F50" i="44"/>
  <c r="F119" i="44"/>
  <c r="F121" i="44"/>
  <c r="F146" i="44"/>
  <c r="F145" i="44"/>
  <c r="F118" i="44"/>
  <c r="F120" i="44"/>
  <c r="F144" i="44"/>
  <c r="E59" i="44"/>
  <c r="E57" i="44"/>
  <c r="E145" i="44"/>
  <c r="E142" i="44"/>
  <c r="E118" i="44"/>
  <c r="E116" i="44"/>
  <c r="E58" i="44"/>
  <c r="E146" i="44"/>
  <c r="E121" i="44"/>
  <c r="E140" i="44"/>
  <c r="E120" i="44"/>
  <c r="E144" i="44"/>
  <c r="E141" i="44"/>
  <c r="E114" i="44"/>
  <c r="E51" i="44"/>
  <c r="E119" i="44"/>
  <c r="E115" i="44"/>
  <c r="E50" i="44"/>
  <c r="F38" i="44"/>
  <c r="F57" i="44"/>
  <c r="K43" i="44"/>
  <c r="F115" i="44"/>
  <c r="F114" i="44"/>
  <c r="F142" i="44"/>
  <c r="F141" i="44"/>
  <c r="F116" i="44"/>
  <c r="F140" i="44"/>
  <c r="K100" i="44"/>
  <c r="C149" i="44"/>
  <c r="C124" i="44"/>
  <c r="C139" i="44"/>
  <c r="C112" i="44"/>
  <c r="F107" i="44"/>
  <c r="F134" i="44"/>
  <c r="F133" i="44"/>
  <c r="C136" i="44"/>
  <c r="C108" i="44"/>
  <c r="F150" i="44"/>
  <c r="F105" i="44"/>
  <c r="F125" i="44"/>
  <c r="F124" i="44"/>
  <c r="F149" i="44"/>
  <c r="E139" i="44"/>
  <c r="E136" i="44"/>
  <c r="E151" i="44"/>
  <c r="E148" i="44"/>
  <c r="E112" i="44"/>
  <c r="E111" i="44"/>
  <c r="E150" i="44"/>
  <c r="E138" i="44"/>
  <c r="E125" i="44"/>
  <c r="E117" i="44"/>
  <c r="E108" i="44"/>
  <c r="E122" i="44"/>
  <c r="E147" i="44"/>
  <c r="E123" i="44"/>
  <c r="E124" i="44"/>
  <c r="E149" i="44"/>
  <c r="E137" i="44"/>
  <c r="E106" i="44"/>
  <c r="E133" i="44"/>
  <c r="E126" i="44"/>
  <c r="E110" i="44"/>
  <c r="E109" i="44"/>
  <c r="E113" i="44"/>
  <c r="E143" i="44"/>
  <c r="K128" i="44"/>
  <c r="F111" i="44"/>
  <c r="F138" i="44"/>
  <c r="F135" i="44"/>
  <c r="F109" i="44"/>
  <c r="F137" i="44"/>
  <c r="F110" i="44"/>
  <c r="F136" i="44"/>
  <c r="F108" i="44"/>
  <c r="F123" i="44"/>
  <c r="F147" i="44"/>
  <c r="F122" i="44"/>
  <c r="C132" i="44"/>
  <c r="C105" i="44"/>
  <c r="F143" i="44"/>
  <c r="F117" i="44"/>
  <c r="C107" i="44"/>
  <c r="C134" i="44"/>
  <c r="F139" i="44"/>
  <c r="F113" i="44"/>
  <c r="F112" i="44"/>
  <c r="F126" i="44"/>
  <c r="F151" i="44"/>
  <c r="F106" i="44"/>
  <c r="F148" i="44"/>
  <c r="F98" i="44"/>
  <c r="F56" i="44"/>
  <c r="F72" i="44"/>
  <c r="F85" i="44"/>
  <c r="F40" i="44"/>
  <c r="E38" i="44"/>
  <c r="K29" i="44"/>
  <c r="K42" i="44"/>
  <c r="K18" i="44"/>
  <c r="F97" i="44"/>
  <c r="F84" i="44"/>
  <c r="F44" i="44" l="1"/>
  <c r="F30" i="44"/>
  <c r="F88" i="44"/>
  <c r="F62" i="44"/>
  <c r="F75" i="44"/>
  <c r="I17" i="44" l="1"/>
  <c r="A1" i="46"/>
  <c r="A8" i="46" s="1"/>
  <c r="C8" i="44" s="1"/>
  <c r="A18" i="46" l="1"/>
  <c r="A23" i="46"/>
  <c r="A13" i="46"/>
  <c r="A3" i="46"/>
  <c r="F132" i="44" l="1"/>
  <c r="K44" i="44"/>
  <c r="K30" i="44"/>
  <c r="I22" i="44"/>
  <c r="G22" i="44"/>
  <c r="K61" i="44"/>
  <c r="K87" i="44"/>
  <c r="K74" i="44"/>
  <c r="F96" i="44"/>
  <c r="F83" i="44"/>
  <c r="F70" i="44"/>
  <c r="C83" i="44"/>
  <c r="C70" i="44"/>
  <c r="C54" i="44"/>
  <c r="C38" i="44"/>
  <c r="C26" i="44"/>
  <c r="C96" i="44"/>
  <c r="F81" i="44"/>
  <c r="F68" i="44"/>
  <c r="F52" i="44"/>
  <c r="F36" i="44"/>
  <c r="G24" i="44"/>
  <c r="F94" i="44"/>
  <c r="G23" i="44"/>
  <c r="D26" i="44"/>
  <c r="F71" i="44"/>
  <c r="F31" i="44"/>
  <c r="F89" i="44"/>
  <c r="F76" i="44"/>
  <c r="F45" i="44"/>
  <c r="F63" i="44"/>
  <c r="F21" i="44"/>
  <c r="D22" i="44"/>
  <c r="C94" i="44"/>
  <c r="C81" i="44"/>
  <c r="C68" i="44"/>
  <c r="C52" i="44"/>
  <c r="C22" i="44"/>
  <c r="C36" i="44"/>
  <c r="C34" i="44"/>
  <c r="C20" i="44"/>
  <c r="C92" i="44"/>
  <c r="C79" i="44"/>
  <c r="C49" i="44"/>
  <c r="C66" i="44"/>
  <c r="F55" i="44"/>
  <c r="F39" i="44"/>
  <c r="F78" i="44"/>
  <c r="F65" i="44"/>
  <c r="F48" i="44"/>
  <c r="F33" i="44"/>
  <c r="F91" i="44"/>
  <c r="D25" i="44"/>
  <c r="E97" i="44"/>
  <c r="E92" i="44"/>
  <c r="E89" i="44"/>
  <c r="E85" i="44"/>
  <c r="E83" i="44"/>
  <c r="E80" i="44"/>
  <c r="E76" i="44"/>
  <c r="E72" i="44"/>
  <c r="E70" i="44"/>
  <c r="E67" i="44"/>
  <c r="E63" i="44"/>
  <c r="E56" i="44"/>
  <c r="E54" i="44"/>
  <c r="E45" i="44"/>
  <c r="E37" i="44"/>
  <c r="E95" i="44"/>
  <c r="E81" i="44"/>
  <c r="E68" i="44"/>
  <c r="E52" i="44"/>
  <c r="E40" i="44"/>
  <c r="E35" i="44"/>
  <c r="E31" i="44"/>
  <c r="E21" i="44"/>
  <c r="E98" i="44"/>
  <c r="E96" i="44"/>
  <c r="E93" i="44"/>
  <c r="E84" i="44"/>
  <c r="E79" i="44"/>
  <c r="E71" i="44"/>
  <c r="E66" i="44"/>
  <c r="E55" i="44"/>
  <c r="E49" i="44"/>
  <c r="E36" i="44"/>
  <c r="E94" i="44"/>
  <c r="E69" i="44"/>
  <c r="E82" i="44"/>
  <c r="E53" i="44"/>
  <c r="E34" i="44"/>
  <c r="E20" i="44"/>
  <c r="E39" i="44"/>
  <c r="C90" i="44"/>
  <c r="C77" i="44"/>
  <c r="C64" i="44"/>
  <c r="C47" i="44"/>
  <c r="C19" i="44"/>
  <c r="C32" i="44"/>
  <c r="L98" i="44"/>
  <c r="L85" i="44"/>
  <c r="L72" i="44"/>
  <c r="M56" i="44"/>
  <c r="K40" i="44"/>
  <c r="F79" i="44"/>
  <c r="F66" i="44"/>
  <c r="F49" i="44"/>
  <c r="F34" i="44"/>
  <c r="F20" i="44"/>
  <c r="F92" i="44"/>
  <c r="F54" i="44"/>
  <c r="F18" i="44"/>
  <c r="F35" i="44"/>
  <c r="F93" i="44"/>
  <c r="F67" i="44"/>
  <c r="F80" i="44"/>
  <c r="F95" i="44"/>
  <c r="I24" i="44"/>
  <c r="F82" i="44"/>
  <c r="F69" i="44"/>
  <c r="F53" i="44"/>
  <c r="I23" i="44"/>
  <c r="F37" i="44"/>
  <c r="F77" i="44"/>
  <c r="F64" i="44"/>
  <c r="F47" i="44"/>
  <c r="F19" i="44"/>
  <c r="F32" i="44"/>
  <c r="F90" i="44"/>
  <c r="C30" i="44"/>
  <c r="C18" i="44"/>
  <c r="C88" i="44"/>
  <c r="C75" i="44"/>
  <c r="C62" i="44"/>
  <c r="C44" i="44"/>
  <c r="AA87" i="6" l="1"/>
  <c r="E84" i="16"/>
  <c r="AA88" i="6"/>
  <c r="G84" i="16"/>
  <c r="AA89" i="6"/>
  <c r="I84" i="16"/>
  <c r="AA90" i="6"/>
  <c r="K84" i="16"/>
  <c r="AA91" i="6"/>
  <c r="M84" i="16"/>
  <c r="AA85" i="6" l="1"/>
  <c r="P111" i="6" s="1"/>
  <c r="AI136" i="6" l="1"/>
  <c r="J135" i="6" l="1"/>
  <c r="G30" i="16" l="1"/>
  <c r="J30" i="16"/>
  <c r="M30" i="16"/>
  <c r="L145" i="6"/>
  <c r="L139" i="6"/>
  <c r="J133" i="6"/>
  <c r="L104" i="6"/>
  <c r="L72" i="6"/>
  <c r="L74" i="6"/>
  <c r="D30" i="16" l="1"/>
  <c r="K19" i="6"/>
  <c r="C162" i="6" l="1"/>
  <c r="Q111" i="6" l="1"/>
  <c r="Q37" i="6"/>
  <c r="Q39" i="6"/>
  <c r="Q41" i="6"/>
  <c r="Q43" i="6"/>
  <c r="Q47" i="6"/>
  <c r="Q49" i="6"/>
  <c r="Q54" i="6"/>
  <c r="Q56" i="6"/>
  <c r="Q58" i="6"/>
  <c r="Q90" i="6"/>
  <c r="Q92" i="6"/>
  <c r="Q95" i="6"/>
  <c r="Q97" i="6"/>
  <c r="Q99" i="6"/>
  <c r="Q101" i="6"/>
  <c r="Q106" i="6"/>
  <c r="P109" i="6"/>
  <c r="Q109" i="6" s="1"/>
  <c r="P113" i="6"/>
  <c r="Q113" i="6" s="1"/>
  <c r="P115" i="6"/>
  <c r="Q115" i="6" s="1"/>
  <c r="P117" i="6"/>
  <c r="Q117" i="6" s="1"/>
  <c r="P119" i="6"/>
  <c r="Q119" i="6" s="1"/>
  <c r="P121" i="6"/>
  <c r="Q121" i="6" s="1"/>
  <c r="Q134" i="6"/>
  <c r="Q138" i="6"/>
  <c r="P142" i="6"/>
  <c r="Q142" i="6" s="1"/>
  <c r="Q148" i="6"/>
  <c r="Q150" i="6"/>
  <c r="J9"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64" i="6"/>
  <c r="AI65" i="6"/>
  <c r="AI66" i="6"/>
  <c r="AI67" i="6"/>
  <c r="AI68" i="6"/>
  <c r="AI69" i="6"/>
  <c r="AI70" i="6"/>
  <c r="AI71" i="6"/>
  <c r="AI72" i="6"/>
  <c r="AI73" i="6"/>
  <c r="AI74" i="6"/>
  <c r="AI75" i="6"/>
  <c r="AI76" i="6"/>
  <c r="AI77" i="6"/>
  <c r="AI78" i="6"/>
  <c r="AI79" i="6"/>
  <c r="AI80" i="6"/>
  <c r="AI81" i="6"/>
  <c r="AI82" i="6"/>
  <c r="AI83"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3" i="6"/>
  <c r="AI124" i="6"/>
  <c r="AI125" i="6"/>
  <c r="AI126" i="6"/>
  <c r="AI127" i="6"/>
  <c r="AI128" i="6"/>
  <c r="AI129" i="6"/>
  <c r="AI130" i="6"/>
  <c r="AI131" i="6"/>
  <c r="AI132" i="6"/>
  <c r="AI133" i="6"/>
  <c r="AI134" i="6"/>
  <c r="AI135" i="6"/>
  <c r="AS58" i="6"/>
  <c r="H26" i="16"/>
  <c r="F26" i="16"/>
  <c r="O26" i="16"/>
  <c r="M26" i="16"/>
  <c r="AB74" i="6"/>
  <c r="L71" i="6" s="1"/>
  <c r="AB69" i="6"/>
  <c r="L73" i="6" s="1"/>
  <c r="Z68" i="6"/>
  <c r="O73" i="6" s="1"/>
  <c r="Q73" i="6" s="1"/>
  <c r="AJ27" i="6"/>
  <c r="AJ28" i="6"/>
  <c r="AJ29" i="6"/>
  <c r="AJ30" i="6"/>
  <c r="AJ31" i="6"/>
  <c r="AJ32" i="6"/>
  <c r="AJ33" i="6"/>
  <c r="AJ34" i="6"/>
  <c r="AJ35" i="6"/>
  <c r="AJ36" i="6"/>
  <c r="AJ37" i="6"/>
  <c r="AJ38" i="6"/>
  <c r="AJ39" i="6"/>
  <c r="AJ40" i="6"/>
  <c r="AJ41" i="6"/>
  <c r="AJ42" i="6"/>
  <c r="AJ43" i="6"/>
  <c r="AJ44" i="6"/>
  <c r="AJ45" i="6"/>
  <c r="AJ46" i="6"/>
  <c r="AJ47" i="6"/>
  <c r="AJ48" i="6"/>
  <c r="AJ49" i="6"/>
  <c r="AJ50" i="6"/>
  <c r="AJ51" i="6"/>
  <c r="AJ52" i="6"/>
  <c r="AJ53" i="6"/>
  <c r="AJ54" i="6"/>
  <c r="AJ55" i="6"/>
  <c r="AJ56" i="6"/>
  <c r="AJ57" i="6"/>
  <c r="AJ58" i="6"/>
  <c r="AJ59" i="6"/>
  <c r="AJ60" i="6"/>
  <c r="AJ61" i="6"/>
  <c r="AJ62" i="6"/>
  <c r="AJ63" i="6"/>
  <c r="AJ64" i="6"/>
  <c r="AJ65" i="6"/>
  <c r="AJ66" i="6"/>
  <c r="AJ67" i="6"/>
  <c r="AJ68" i="6"/>
  <c r="AJ69" i="6"/>
  <c r="AJ70" i="6"/>
  <c r="AJ71" i="6"/>
  <c r="AJ72" i="6"/>
  <c r="AJ73" i="6"/>
  <c r="AJ74" i="6"/>
  <c r="AJ75" i="6"/>
  <c r="AJ76" i="6"/>
  <c r="AJ77" i="6"/>
  <c r="AJ78" i="6"/>
  <c r="AJ79" i="6"/>
  <c r="AJ80" i="6"/>
  <c r="AJ81" i="6"/>
  <c r="AJ82" i="6"/>
  <c r="AJ83"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1" i="6"/>
  <c r="AJ122" i="6"/>
  <c r="AJ123" i="6"/>
  <c r="AJ124" i="6"/>
  <c r="AJ125" i="6"/>
  <c r="AJ126" i="6"/>
  <c r="AJ127" i="6"/>
  <c r="AJ128" i="6"/>
  <c r="AJ129" i="6"/>
  <c r="AJ130" i="6"/>
  <c r="AJ131" i="6"/>
  <c r="AJ132" i="6"/>
  <c r="AJ133" i="6"/>
  <c r="AJ134" i="6"/>
  <c r="AJ135" i="6"/>
  <c r="Q144" i="6"/>
  <c r="A1" i="17"/>
  <c r="A13" i="17" s="1"/>
  <c r="C14" i="16" s="1"/>
  <c r="AH68" i="6"/>
  <c r="AH69" i="6"/>
  <c r="AH70" i="6"/>
  <c r="AH71" i="6"/>
  <c r="AH72" i="6"/>
  <c r="AH73" i="6"/>
  <c r="AH74" i="6"/>
  <c r="AH75" i="6"/>
  <c r="A1" i="13"/>
  <c r="I6" i="13" s="1"/>
  <c r="N139" i="16"/>
  <c r="J139" i="16"/>
  <c r="F139" i="1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G106" i="6"/>
  <c r="AG107" i="6"/>
  <c r="AG108" i="6"/>
  <c r="AG100" i="6"/>
  <c r="AG101" i="6"/>
  <c r="AG102" i="6"/>
  <c r="AG103" i="6"/>
  <c r="AG104" i="6"/>
  <c r="AG105" i="6"/>
  <c r="AG96" i="6"/>
  <c r="AG97" i="6"/>
  <c r="AG98" i="6"/>
  <c r="AG99" i="6"/>
  <c r="AG79" i="6"/>
  <c r="AG80" i="6"/>
  <c r="AG81" i="6"/>
  <c r="AG82" i="6"/>
  <c r="AG83" i="6"/>
  <c r="AG84" i="6"/>
  <c r="AG85" i="6"/>
  <c r="AG86" i="6"/>
  <c r="AG87" i="6"/>
  <c r="AG88" i="6"/>
  <c r="AG89" i="6"/>
  <c r="AG90" i="6"/>
  <c r="AG91" i="6"/>
  <c r="AG92" i="6"/>
  <c r="AG93" i="6"/>
  <c r="AG94" i="6"/>
  <c r="AG95" i="6"/>
  <c r="AG76" i="6"/>
  <c r="AG77" i="6"/>
  <c r="AG78"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G54" i="6"/>
  <c r="AG55" i="6"/>
  <c r="AG56" i="6"/>
  <c r="AG57" i="6"/>
  <c r="AG58" i="6"/>
  <c r="AG59" i="6"/>
  <c r="AG60" i="6"/>
  <c r="AG61" i="6"/>
  <c r="AG62" i="6"/>
  <c r="AG63" i="6"/>
  <c r="AG64" i="6"/>
  <c r="AG65" i="6"/>
  <c r="AG66" i="6"/>
  <c r="AG67" i="6"/>
  <c r="AG68" i="6"/>
  <c r="AG69" i="6"/>
  <c r="AG70" i="6"/>
  <c r="AG71" i="6"/>
  <c r="AG72" i="6"/>
  <c r="AG73" i="6"/>
  <c r="AG74" i="6"/>
  <c r="AG75" i="6"/>
  <c r="AG26" i="6"/>
  <c r="AR3" i="6"/>
  <c r="AR4" i="6"/>
  <c r="AR5"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Q4" i="6"/>
  <c r="AQ5" i="6"/>
  <c r="AQ6" i="6"/>
  <c r="AQ7" i="6"/>
  <c r="AQ8" i="6"/>
  <c r="AQ9" i="6"/>
  <c r="AQ10" i="6"/>
  <c r="AQ11" i="6"/>
  <c r="AQ12" i="6"/>
  <c r="AQ13" i="6"/>
  <c r="AQ14" i="6"/>
  <c r="AQ15" i="6"/>
  <c r="AQ16" i="6"/>
  <c r="AQ17" i="6"/>
  <c r="AQ18" i="6"/>
  <c r="AQ19" i="6"/>
  <c r="AQ20" i="6"/>
  <c r="AQ21" i="6"/>
  <c r="AQ22" i="6"/>
  <c r="AQ3" i="6"/>
  <c r="AP78" i="6"/>
  <c r="AP79" i="6"/>
  <c r="AP73" i="6"/>
  <c r="AP74" i="6"/>
  <c r="AP75" i="6"/>
  <c r="AP76" i="6"/>
  <c r="AP77" i="6"/>
  <c r="AP58" i="6"/>
  <c r="AP59" i="6"/>
  <c r="AP60" i="6"/>
  <c r="AP61" i="6"/>
  <c r="AP62" i="6"/>
  <c r="AP63" i="6"/>
  <c r="AP64" i="6"/>
  <c r="AP65" i="6"/>
  <c r="AP66" i="6"/>
  <c r="AP67" i="6"/>
  <c r="AP68" i="6"/>
  <c r="AP69" i="6"/>
  <c r="AP70" i="6"/>
  <c r="AP71" i="6"/>
  <c r="AP72" i="6"/>
  <c r="AP52" i="6"/>
  <c r="AP53" i="6"/>
  <c r="AP54" i="6"/>
  <c r="AP55" i="6"/>
  <c r="AP56" i="6"/>
  <c r="AP57" i="6"/>
  <c r="AP4" i="6"/>
  <c r="AP5" i="6"/>
  <c r="AP6" i="6"/>
  <c r="AP7" i="6"/>
  <c r="AP8" i="6"/>
  <c r="AP9" i="6"/>
  <c r="AP10" i="6"/>
  <c r="AP11" i="6"/>
  <c r="AP12" i="6"/>
  <c r="AP13" i="6"/>
  <c r="AP14" i="6"/>
  <c r="AP15" i="6"/>
  <c r="AP16" i="6"/>
  <c r="AP17" i="6"/>
  <c r="AP18" i="6"/>
  <c r="AP19" i="6"/>
  <c r="AP20" i="6"/>
  <c r="AP21" i="6"/>
  <c r="AP22" i="6"/>
  <c r="AP23" i="6"/>
  <c r="AP24" i="6"/>
  <c r="AP25" i="6"/>
  <c r="AP26" i="6"/>
  <c r="AP27" i="6"/>
  <c r="AP28" i="6"/>
  <c r="AP29" i="6"/>
  <c r="AP30" i="6"/>
  <c r="AP31" i="6"/>
  <c r="AP32" i="6"/>
  <c r="AP33" i="6"/>
  <c r="AP34" i="6"/>
  <c r="AP35" i="6"/>
  <c r="AP36" i="6"/>
  <c r="AP37" i="6"/>
  <c r="AP38" i="6"/>
  <c r="AP39" i="6"/>
  <c r="AP40" i="6"/>
  <c r="AP41" i="6"/>
  <c r="AP42" i="6"/>
  <c r="AP43" i="6"/>
  <c r="AP44" i="6"/>
  <c r="AP45" i="6"/>
  <c r="AP46" i="6"/>
  <c r="AP47" i="6"/>
  <c r="AP48" i="6"/>
  <c r="AP49" i="6"/>
  <c r="AP50" i="6"/>
  <c r="AP51" i="6"/>
  <c r="AO22" i="6"/>
  <c r="AO21" i="6"/>
  <c r="AO13" i="6"/>
  <c r="AO14" i="6"/>
  <c r="AO15" i="6"/>
  <c r="AO16" i="6"/>
  <c r="AO17" i="6"/>
  <c r="AO18" i="6"/>
  <c r="AO19" i="6"/>
  <c r="AO20" i="6"/>
  <c r="AO4" i="6"/>
  <c r="AO5" i="6"/>
  <c r="AO6" i="6"/>
  <c r="AO7" i="6"/>
  <c r="AO8" i="6"/>
  <c r="AO9" i="6"/>
  <c r="AO10" i="6"/>
  <c r="AO11" i="6"/>
  <c r="AO12" i="6"/>
  <c r="G65" i="6"/>
  <c r="A1" i="5"/>
  <c r="A1" i="31"/>
  <c r="AS59" i="6"/>
  <c r="AS60" i="6"/>
  <c r="AS61" i="6"/>
  <c r="N26" i="6"/>
  <c r="D31" i="16"/>
  <c r="M26" i="6"/>
  <c r="T42" i="6" s="1"/>
  <c r="K40" i="16"/>
  <c r="I40" i="16"/>
  <c r="G40" i="16"/>
  <c r="E40" i="16"/>
  <c r="M31" i="16"/>
  <c r="J31" i="16"/>
  <c r="G31" i="16"/>
  <c r="AS62" i="6"/>
  <c r="A8" i="5" l="1"/>
  <c r="C7" i="6" s="1"/>
  <c r="Y26" i="13"/>
  <c r="A17" i="13"/>
  <c r="A5" i="6" s="1"/>
  <c r="I36" i="13"/>
  <c r="H155" i="6"/>
  <c r="K155" i="6" s="1"/>
  <c r="A13" i="31"/>
  <c r="C13" i="16" s="1"/>
  <c r="E21" i="31"/>
  <c r="E16" i="16" s="1"/>
  <c r="G16" i="31"/>
  <c r="G21" i="31"/>
  <c r="G26" i="31"/>
  <c r="A68" i="5"/>
  <c r="E168" i="6" s="1"/>
  <c r="A3" i="5"/>
  <c r="A6" i="6" s="1"/>
  <c r="W42" i="13"/>
  <c r="E84" i="6" s="1"/>
  <c r="S41" i="13"/>
  <c r="C123" i="6" s="1"/>
  <c r="A44" i="13"/>
  <c r="J29" i="6" s="1"/>
  <c r="Q31" i="13"/>
  <c r="G21" i="13"/>
  <c r="Y31" i="13"/>
  <c r="Y11" i="13"/>
  <c r="Y6" i="13"/>
  <c r="Y21" i="13"/>
  <c r="G11" i="13"/>
  <c r="A88" i="17"/>
  <c r="I1" i="31"/>
  <c r="G1" i="31"/>
  <c r="A33" i="5"/>
  <c r="C21" i="6" s="1"/>
  <c r="T45" i="6" s="1"/>
  <c r="E11" i="31"/>
  <c r="G82" i="16" s="1"/>
  <c r="A83" i="17"/>
  <c r="A143" i="17"/>
  <c r="E134" i="16" s="1"/>
  <c r="A138" i="17"/>
  <c r="E133" i="16" s="1"/>
  <c r="A133" i="17"/>
  <c r="E132" i="16" s="1"/>
  <c r="A128" i="17"/>
  <c r="E131" i="16" s="1"/>
  <c r="A123" i="17"/>
  <c r="E130" i="16" s="1"/>
  <c r="A113" i="17"/>
  <c r="E127" i="16" s="1"/>
  <c r="A108" i="17"/>
  <c r="E126" i="16" s="1"/>
  <c r="A103" i="17"/>
  <c r="E125" i="16" s="1"/>
  <c r="A118" i="17"/>
  <c r="E128" i="16" s="1"/>
  <c r="Y56" i="13"/>
  <c r="C51" i="6" s="1"/>
  <c r="O36" i="13"/>
  <c r="Y10" i="6" s="1"/>
  <c r="O31" i="13"/>
  <c r="A63" i="5"/>
  <c r="E166" i="6" s="1"/>
  <c r="Y16" i="13"/>
  <c r="K21" i="13"/>
  <c r="O26" i="13"/>
  <c r="K16" i="13"/>
  <c r="W37" i="13"/>
  <c r="E6" i="31"/>
  <c r="C21" i="31"/>
  <c r="C86" i="16" s="1"/>
  <c r="G6" i="31"/>
  <c r="C151" i="16" s="1"/>
  <c r="E1" i="31"/>
  <c r="A8" i="31"/>
  <c r="C6" i="31"/>
  <c r="F24" i="16" s="1"/>
  <c r="G11" i="31"/>
  <c r="G151" i="16" s="1"/>
  <c r="C16" i="31"/>
  <c r="C94" i="16" s="1"/>
  <c r="A3" i="31"/>
  <c r="C1" i="31"/>
  <c r="C115" i="16" s="1"/>
  <c r="C11" i="31"/>
  <c r="C89" i="16" s="1"/>
  <c r="E16" i="31"/>
  <c r="C108" i="16" s="1"/>
  <c r="A153" i="17"/>
  <c r="C143" i="16" s="1"/>
  <c r="A93" i="17"/>
  <c r="C116" i="16" s="1"/>
  <c r="A48" i="17"/>
  <c r="C76" i="16" s="1"/>
  <c r="A38" i="17"/>
  <c r="C63" i="16" s="1"/>
  <c r="A18" i="17"/>
  <c r="C49" i="16" s="1"/>
  <c r="A158" i="17"/>
  <c r="C152" i="16" s="1"/>
  <c r="A53" i="17"/>
  <c r="C87" i="16" s="1"/>
  <c r="A3" i="17"/>
  <c r="D7" i="16" s="1"/>
  <c r="A78" i="17"/>
  <c r="C114" i="16" s="1"/>
  <c r="A63" i="17"/>
  <c r="C95" i="16" s="1"/>
  <c r="A33" i="17"/>
  <c r="C41" i="16" s="1"/>
  <c r="A68" i="17"/>
  <c r="C106" i="16" s="1"/>
  <c r="A148" i="17"/>
  <c r="E135" i="16" s="1"/>
  <c r="A73" i="17"/>
  <c r="C109" i="16" s="1"/>
  <c r="A58" i="17"/>
  <c r="C90" i="16" s="1"/>
  <c r="A28" i="17"/>
  <c r="C32" i="16" s="1"/>
  <c r="A8" i="17"/>
  <c r="D9" i="16" s="1"/>
  <c r="A98" i="17"/>
  <c r="E123" i="16" s="1"/>
  <c r="A23" i="17"/>
  <c r="C56" i="16" s="1"/>
  <c r="Y51" i="13"/>
  <c r="A23" i="13"/>
  <c r="C54" i="6" s="1"/>
  <c r="W5" i="13"/>
  <c r="C121" i="6" s="1"/>
  <c r="S6" i="13"/>
  <c r="U6" i="13"/>
  <c r="U26" i="13"/>
  <c r="S26" i="13"/>
  <c r="C77" i="6" s="1"/>
  <c r="S11" i="13"/>
  <c r="Q26" i="13"/>
  <c r="E154" i="6" s="1"/>
  <c r="S36" i="13"/>
  <c r="E70" i="6" s="1"/>
  <c r="M26" i="13"/>
  <c r="Q1" i="13"/>
  <c r="C62" i="16" s="1"/>
  <c r="O21" i="13"/>
  <c r="M6" i="13"/>
  <c r="K1" i="13"/>
  <c r="E26" i="13"/>
  <c r="I16" i="13"/>
  <c r="C25" i="13"/>
  <c r="K26" i="13"/>
  <c r="G16" i="13"/>
  <c r="C142" i="6" s="1"/>
  <c r="E21" i="13"/>
  <c r="M21" i="13"/>
  <c r="G157" i="6" s="1"/>
  <c r="E6" i="13"/>
  <c r="C12" i="6" s="1"/>
  <c r="E1" i="13"/>
  <c r="N86" i="6" s="1"/>
  <c r="A26" i="13"/>
  <c r="C60" i="6" s="1"/>
  <c r="U1" i="13"/>
  <c r="C26" i="6" s="1"/>
  <c r="S31" i="13"/>
  <c r="C48" i="16" s="1"/>
  <c r="I31" i="13"/>
  <c r="C106" i="6" s="1"/>
  <c r="K31" i="13"/>
  <c r="D25" i="16" s="1"/>
  <c r="G6" i="13"/>
  <c r="A24" i="13"/>
  <c r="C56" i="6" s="1"/>
  <c r="W2" i="13"/>
  <c r="C115" i="6" s="1"/>
  <c r="W1" i="13"/>
  <c r="C113" i="6" s="1"/>
  <c r="Y36" i="13"/>
  <c r="Y41" i="13"/>
  <c r="C78" i="6" s="1"/>
  <c r="U11" i="13"/>
  <c r="U31" i="13"/>
  <c r="U46" i="13"/>
  <c r="C94" i="6" s="1"/>
  <c r="S1" i="13"/>
  <c r="C75" i="16" s="1"/>
  <c r="Q21" i="13"/>
  <c r="E159" i="6" s="1"/>
  <c r="I26" i="13"/>
  <c r="C146" i="6" s="1"/>
  <c r="Q6" i="13"/>
  <c r="C99" i="6" s="1"/>
  <c r="O16" i="13"/>
  <c r="C23" i="6" s="1"/>
  <c r="O1" i="13"/>
  <c r="C18" i="6" s="1"/>
  <c r="M1" i="13"/>
  <c r="K6" i="13"/>
  <c r="N175" i="6" s="1"/>
  <c r="C40" i="13"/>
  <c r="M131" i="6" s="1"/>
  <c r="I11" i="13"/>
  <c r="C38" i="16" s="1"/>
  <c r="M36" i="13"/>
  <c r="C134" i="6" s="1"/>
  <c r="G31" i="13"/>
  <c r="C80" i="6" s="1"/>
  <c r="M16" i="13"/>
  <c r="Q16" i="13"/>
  <c r="C97" i="6" s="1"/>
  <c r="I1" i="13"/>
  <c r="C55" i="16" s="1"/>
  <c r="C20" i="13"/>
  <c r="C175" i="6" s="1"/>
  <c r="A25" i="13"/>
  <c r="C58" i="6" s="1"/>
  <c r="W3" i="13"/>
  <c r="C117" i="6" s="1"/>
  <c r="Y1" i="13"/>
  <c r="C49" i="6" s="1"/>
  <c r="Y46" i="13"/>
  <c r="C92" i="6" s="1"/>
  <c r="W27" i="13"/>
  <c r="C90" i="6" s="1"/>
  <c r="U16" i="13"/>
  <c r="U36" i="13"/>
  <c r="S21" i="13"/>
  <c r="C70" i="6" s="1"/>
  <c r="G26" i="13"/>
  <c r="C35" i="13"/>
  <c r="Q11" i="13"/>
  <c r="C95" i="6" s="1"/>
  <c r="O11" i="13"/>
  <c r="K11" i="13"/>
  <c r="Q131" i="6" s="1"/>
  <c r="C30" i="13"/>
  <c r="M31" i="13"/>
  <c r="C132" i="6" s="1"/>
  <c r="G1" i="13"/>
  <c r="C105" i="6" s="1"/>
  <c r="K36" i="13"/>
  <c r="E155" i="6" s="1"/>
  <c r="E16" i="13"/>
  <c r="D136" i="6" s="1"/>
  <c r="W4" i="13"/>
  <c r="C119" i="6" s="1"/>
  <c r="W32" i="13"/>
  <c r="U21" i="13"/>
  <c r="C29" i="6" s="1"/>
  <c r="U41" i="13"/>
  <c r="S16" i="13"/>
  <c r="C53" i="6" s="1"/>
  <c r="I21" i="13"/>
  <c r="C144" i="6" s="1"/>
  <c r="O6" i="13"/>
  <c r="E61" i="6" s="1"/>
  <c r="M11" i="13"/>
  <c r="A2" i="6" s="1"/>
  <c r="E11" i="13"/>
  <c r="C178" i="6" s="1"/>
  <c r="A58" i="5"/>
  <c r="E162" i="6" s="1"/>
  <c r="A38" i="5"/>
  <c r="T43" i="6" s="1"/>
  <c r="T44" i="6" s="1"/>
  <c r="A48" i="5"/>
  <c r="A18" i="5"/>
  <c r="A73" i="5"/>
  <c r="C171" i="6" s="1"/>
  <c r="A23" i="5"/>
  <c r="A53" i="5"/>
  <c r="C101" i="6" s="1"/>
  <c r="A28" i="5"/>
  <c r="T38" i="6" s="1"/>
  <c r="A43" i="5"/>
  <c r="T41" i="6" s="1"/>
  <c r="A13" i="5"/>
  <c r="T37" i="6" s="1"/>
  <c r="C7" i="44"/>
  <c r="C11" i="44"/>
  <c r="P88" i="6"/>
  <c r="Q88" i="6" s="1"/>
  <c r="H76" i="6"/>
  <c r="A43" i="17"/>
  <c r="C70" i="16" s="1"/>
  <c r="M47" i="44" l="1"/>
  <c r="J56" i="44"/>
  <c r="J54" i="44"/>
  <c r="J45" i="44"/>
  <c r="J55" i="44"/>
  <c r="J50" i="44"/>
  <c r="Y12" i="6"/>
  <c r="M53" i="44"/>
  <c r="J58" i="44"/>
  <c r="J46" i="44"/>
  <c r="J57" i="44"/>
  <c r="J51" i="44"/>
  <c r="J59" i="44"/>
  <c r="B42" i="44"/>
  <c r="Y11" i="6"/>
  <c r="M31" i="44"/>
  <c r="Y9" i="6"/>
  <c r="Y8" i="6"/>
  <c r="B43" i="44"/>
  <c r="Y35" i="6"/>
  <c r="Y33" i="6"/>
  <c r="Y34" i="6"/>
  <c r="Y32" i="6"/>
  <c r="M36" i="44"/>
  <c r="J38" i="44"/>
  <c r="A4" i="6"/>
  <c r="E158" i="6"/>
  <c r="F18" i="6"/>
  <c r="B87" i="44"/>
  <c r="B74" i="44"/>
  <c r="B61" i="44"/>
  <c r="F48" i="16"/>
  <c r="C86" i="6"/>
  <c r="C84" i="6"/>
  <c r="K39" i="16"/>
  <c r="AT21" i="6"/>
  <c r="Y24" i="6"/>
  <c r="G123" i="6"/>
  <c r="M155" i="6"/>
  <c r="T36" i="6"/>
  <c r="C111" i="6"/>
  <c r="C82" i="16"/>
  <c r="J45" i="6"/>
  <c r="N45" i="6"/>
  <c r="N51" i="6"/>
  <c r="C32" i="6"/>
  <c r="C34" i="6"/>
  <c r="Y26" i="6"/>
  <c r="B28" i="44"/>
  <c r="Y28" i="6"/>
  <c r="B29" i="44"/>
  <c r="C45" i="6"/>
  <c r="C19" i="16"/>
  <c r="N30" i="6"/>
  <c r="C30" i="6"/>
  <c r="J10" i="44"/>
  <c r="Z73" i="6"/>
  <c r="O71" i="6" s="1"/>
  <c r="Q71" i="6" s="1"/>
  <c r="O60" i="6"/>
  <c r="C130" i="16"/>
  <c r="N34" i="6"/>
  <c r="Y1" i="6"/>
  <c r="Y3" i="6"/>
  <c r="AA1" i="6" s="1"/>
  <c r="G10" i="44"/>
  <c r="H2" i="16"/>
  <c r="C65" i="6"/>
  <c r="C128" i="6"/>
  <c r="I136" i="6"/>
  <c r="C140" i="6"/>
  <c r="F25" i="16"/>
  <c r="M25" i="16"/>
  <c r="H25" i="16"/>
  <c r="O25" i="16"/>
  <c r="C123" i="16"/>
  <c r="C39" i="6"/>
  <c r="C43" i="6"/>
  <c r="K132" i="6"/>
  <c r="G82" i="6"/>
  <c r="J153" i="6"/>
  <c r="C71" i="6"/>
  <c r="F138" i="6"/>
  <c r="C138" i="16"/>
  <c r="C103" i="6"/>
  <c r="I29" i="6"/>
  <c r="H150" i="6"/>
  <c r="J84" i="6"/>
  <c r="G144" i="6"/>
  <c r="N32" i="6"/>
  <c r="N43" i="6"/>
  <c r="C109" i="6"/>
  <c r="H148" i="6"/>
  <c r="H88" i="6"/>
  <c r="E131" i="6"/>
  <c r="K70" i="6"/>
  <c r="C24" i="16"/>
  <c r="H80" i="6"/>
  <c r="G142" i="6"/>
  <c r="G94" i="6"/>
  <c r="G108" i="6"/>
  <c r="E53" i="6"/>
  <c r="E75" i="6"/>
  <c r="N90" i="6"/>
  <c r="N144" i="6"/>
  <c r="K134" i="6"/>
  <c r="N101" i="6"/>
  <c r="N92" i="6"/>
  <c r="N99" i="6"/>
  <c r="C122" i="16"/>
  <c r="C88" i="6"/>
  <c r="N148" i="6"/>
  <c r="N39" i="6"/>
  <c r="N121" i="6"/>
  <c r="N37" i="6"/>
  <c r="N150" i="6"/>
  <c r="N119" i="6"/>
  <c r="N113" i="6"/>
  <c r="N95" i="6"/>
  <c r="N117" i="6"/>
  <c r="C82" i="6"/>
  <c r="Y30" i="6"/>
  <c r="N132" i="6"/>
  <c r="N134" i="6"/>
  <c r="C11" i="6"/>
  <c r="N49" i="6"/>
  <c r="N97" i="6"/>
  <c r="C148" i="6"/>
  <c r="C142" i="16"/>
  <c r="N111" i="6"/>
  <c r="N106" i="6"/>
  <c r="N123" i="6"/>
  <c r="N41" i="6"/>
  <c r="N109" i="6"/>
  <c r="J138" i="6"/>
  <c r="N103" i="6"/>
  <c r="N115" i="6"/>
  <c r="N47" i="6"/>
  <c r="N138" i="6"/>
  <c r="C14" i="6"/>
  <c r="C73" i="6"/>
  <c r="K25" i="16"/>
  <c r="C150" i="16"/>
  <c r="C150" i="6"/>
  <c r="C10" i="6"/>
  <c r="C41" i="6"/>
  <c r="C29" i="16"/>
  <c r="F36" i="6"/>
  <c r="E29" i="6"/>
  <c r="M69" i="6"/>
  <c r="C37" i="6"/>
  <c r="C131" i="6"/>
  <c r="C105" i="16"/>
  <c r="Q69" i="6"/>
  <c r="Q17" i="6"/>
  <c r="H71" i="6"/>
  <c r="H73" i="6"/>
  <c r="C47" i="6"/>
  <c r="C113" i="16"/>
  <c r="C138" i="6"/>
  <c r="C36" i="6"/>
  <c r="AB1" i="6" l="1"/>
  <c r="J18" i="6" s="1"/>
  <c r="P18" i="6"/>
  <c r="Q18" i="6" s="1"/>
  <c r="X20" i="6"/>
  <c r="X35" i="6"/>
  <c r="X42" i="6"/>
  <c r="X13" i="6"/>
  <c r="X36" i="6"/>
  <c r="X8" i="6"/>
  <c r="X43" i="6"/>
  <c r="X22" i="6"/>
  <c r="X14" i="6"/>
  <c r="X37" i="6"/>
  <c r="X29" i="6"/>
  <c r="X7" i="6"/>
  <c r="X21" i="6"/>
  <c r="X34" i="6"/>
  <c r="X18" i="6"/>
  <c r="X40" i="6"/>
  <c r="X30" i="6"/>
  <c r="M84" i="6"/>
  <c r="Q84" i="6" s="1"/>
  <c r="Q82" i="6"/>
  <c r="J82" i="6"/>
  <c r="X3" i="6"/>
  <c r="X11" i="6"/>
  <c r="X25" i="6"/>
  <c r="L144" i="6"/>
  <c r="AS47" i="6" l="1"/>
  <c r="AS43" i="6"/>
  <c r="AS46" i="6"/>
  <c r="AS45" i="6"/>
  <c r="AS44" i="6"/>
  <c r="C27" i="6"/>
  <c r="O20" i="6"/>
  <c r="C20" i="6"/>
  <c r="I24" i="6"/>
  <c r="M23" i="6"/>
  <c r="Q23" i="6" s="1"/>
  <c r="Q123" i="6" l="1"/>
  <c r="H154" i="6" s="1"/>
  <c r="H156" i="6" l="1"/>
  <c r="K154" i="6"/>
  <c r="M154" i="6" l="1"/>
  <c r="M157" i="6" s="1"/>
  <c r="M158" i="6" s="1"/>
  <c r="K156" i="6"/>
  <c r="M159" i="6" l="1"/>
</calcChain>
</file>

<file path=xl/sharedStrings.xml><?xml version="1.0" encoding="utf-8"?>
<sst xmlns="http://schemas.openxmlformats.org/spreadsheetml/2006/main" count="1488" uniqueCount="1207">
  <si>
    <t>Nº Contribuinte:</t>
  </si>
  <si>
    <t>Data:</t>
  </si>
  <si>
    <t>Euro</t>
  </si>
  <si>
    <t>Pais:</t>
  </si>
  <si>
    <t>NIF:</t>
  </si>
  <si>
    <t>Country:</t>
  </si>
  <si>
    <t>Português</t>
  </si>
  <si>
    <t>English</t>
  </si>
  <si>
    <t>Español</t>
  </si>
  <si>
    <t>m2</t>
  </si>
  <si>
    <t>Date:</t>
  </si>
  <si>
    <t>Fecha:</t>
  </si>
  <si>
    <t>Assinatura:</t>
  </si>
  <si>
    <t>Signature:</t>
  </si>
  <si>
    <t>Firma:</t>
  </si>
  <si>
    <t>Valor</t>
  </si>
  <si>
    <t>Cost</t>
  </si>
  <si>
    <t>Campos Obrigatórios</t>
  </si>
  <si>
    <t>Required Fields</t>
  </si>
  <si>
    <r>
      <rPr>
        <b/>
        <sz val="8"/>
        <color rgb="FFFF0000"/>
        <rFont val="Rockwell Extra Bold"/>
        <family val="1"/>
      </rPr>
      <t>*</t>
    </r>
    <r>
      <rPr>
        <b/>
        <sz val="8"/>
        <color rgb="FFFF0000"/>
        <rFont val="Calibri"/>
        <family val="2"/>
      </rPr>
      <t xml:space="preserve"> </t>
    </r>
  </si>
  <si>
    <t>Kw</t>
  </si>
  <si>
    <t>unid.</t>
  </si>
  <si>
    <t>unit</t>
  </si>
  <si>
    <t>TOTAL</t>
  </si>
  <si>
    <t>Campo Obrigatório</t>
  </si>
  <si>
    <t>Coût</t>
  </si>
  <si>
    <t>Pays:</t>
  </si>
  <si>
    <t>Nº Contribuable:</t>
  </si>
  <si>
    <t>Campo Obligatorio</t>
  </si>
  <si>
    <t>et le</t>
  </si>
  <si>
    <t>STANDS</t>
  </si>
  <si>
    <t>Enviar para:</t>
  </si>
  <si>
    <t>Send to:</t>
  </si>
  <si>
    <t>Enviar a:</t>
  </si>
  <si>
    <t>●</t>
  </si>
  <si>
    <t>Outra cor</t>
  </si>
  <si>
    <t>Other color</t>
  </si>
  <si>
    <t>Otro color</t>
  </si>
  <si>
    <t>Estrutura:</t>
  </si>
  <si>
    <t>Structure:</t>
  </si>
  <si>
    <t>Estructura:</t>
  </si>
  <si>
    <t>Pavimento:</t>
  </si>
  <si>
    <t>Floor:</t>
  </si>
  <si>
    <t>Étage:</t>
  </si>
  <si>
    <t>Electricidade:</t>
  </si>
  <si>
    <t>Balcão curvo com 1 m de altura e prateleira interior na mesma estrutura do stand</t>
  </si>
  <si>
    <t>Electrical:</t>
  </si>
  <si>
    <t>Curved counter one meter high and interior shelving unit within the booth</t>
  </si>
  <si>
    <t>Electricidad:</t>
  </si>
  <si>
    <t>Mostrador curvo con 1 m de altura y balda interior en la mesma estructura del stand</t>
  </si>
  <si>
    <t>Électricité:</t>
  </si>
  <si>
    <t>Compteur courbe avec 1 m et haute étagère intérieure dans la même structure de stand</t>
  </si>
  <si>
    <t>Mobiliário:</t>
  </si>
  <si>
    <t>Furniture:</t>
  </si>
  <si>
    <t>Meubles:</t>
  </si>
  <si>
    <t>Grafismo:</t>
  </si>
  <si>
    <t>Graphics:</t>
  </si>
  <si>
    <t>Cor da Alcatifa:</t>
  </si>
  <si>
    <t>Color de la Moqueta:</t>
  </si>
  <si>
    <t>Mais de 36 m2:  a analisar</t>
  </si>
  <si>
    <t>Couleur Moquette:</t>
  </si>
  <si>
    <t>Más de 36 m2:  a analizar</t>
  </si>
  <si>
    <t>Plus de 36 m2:  a analyser</t>
  </si>
  <si>
    <t>407 912</t>
  </si>
  <si>
    <t>Quant.</t>
  </si>
  <si>
    <t>Qty</t>
  </si>
  <si>
    <t>Cant.</t>
  </si>
  <si>
    <t>Qté</t>
  </si>
  <si>
    <t>410 222</t>
  </si>
  <si>
    <t>409 941</t>
  </si>
  <si>
    <t>400 116</t>
  </si>
  <si>
    <t>INSTALAÇÕES ELÉCTRICAS</t>
  </si>
  <si>
    <t>ELECTRICAL INSTALLATION</t>
  </si>
  <si>
    <t>INSTALACIONES ELÉCTRICAS</t>
  </si>
  <si>
    <t>INSTALLATION ELECTRIQUE</t>
  </si>
  <si>
    <t>400 241</t>
  </si>
  <si>
    <t>400 242</t>
  </si>
  <si>
    <t>400 870</t>
  </si>
  <si>
    <t>400 577</t>
  </si>
  <si>
    <t>406 720</t>
  </si>
  <si>
    <t>400 188</t>
  </si>
  <si>
    <t>LIMPEZA DE STAND</t>
  </si>
  <si>
    <t>STAND CLEANING</t>
  </si>
  <si>
    <t>LIMPIEZA DE STAND</t>
  </si>
  <si>
    <t>NETTOYAGE DU STAND</t>
  </si>
  <si>
    <t>Limpeza</t>
  </si>
  <si>
    <t>404 961</t>
  </si>
  <si>
    <t>409 641</t>
  </si>
  <si>
    <t>Parque</t>
  </si>
  <si>
    <t>Eng Per</t>
  </si>
  <si>
    <t>Geral</t>
  </si>
  <si>
    <t>para:</t>
  </si>
  <si>
    <t>to:</t>
  </si>
  <si>
    <t>a:</t>
  </si>
  <si>
    <t>à:</t>
  </si>
  <si>
    <t>409 568</t>
  </si>
  <si>
    <t xml:space="preserve">Este tipo de ligação é recomendada quando o Expositor tem equipamentos de frio ou máquinas que necessitem de alimentação permanente.
A electricidade dos stands é ligada 1 hora antes do inicio do evento e desligada até 30 min. depois do seu encerramento. No caso de necessitar que a energia fique interruptamente ligada no seu stand, deverá requisitar ENERGIA PERMANENTE 24 Horas. </t>
  </si>
  <si>
    <t xml:space="preserve">This type of connection is recommended when the Exhibitor has refrigeration equipment or machines that require continuous power.
The electricity is turned on the stands 1 hour before the start of the event and off up to 30 min. after its closure. In case you need that energy ineterruptamente stay connected to your stand, you should request PERMANENT POWER 24 Hours. </t>
  </si>
  <si>
    <t>Este tipo de conexión se recomienda cuando el expositor tiene equipos de refrigeración o máquinas que requieren energía continua.
La electricidad de los stands es conectada 1 hora antes del inicio del certamen y desconectada hasta 30 min. después de su clausura.  Caso necesite que la energía quede ininterrumpidamente conectada en su stand, deberá solicitar ENERGIA PERMANENTE 24 Horas.</t>
  </si>
  <si>
    <t>Ce type de connexion est recommandée lorsque l'exposant dispose d'équipements ou machines qui nécessitent une alimentation continue réfrigération. L'électricité des stands est connecté une heure avant le début de l'événement et fermé jusqu'à 30 min. après sa fermeture. Si vous avez besoin que l'énergie interruptamente rester connecté à votre stand, vous devez demander ÉNERGIE PERMANENT.</t>
  </si>
  <si>
    <t>Trifásico 16A (10 KW)</t>
  </si>
  <si>
    <t>Trifásico 32A (20 KW)</t>
  </si>
  <si>
    <t>Trifásico 63A (40 KW)</t>
  </si>
  <si>
    <t>Three Phase 32A (20 KW)</t>
  </si>
  <si>
    <t>Three Phase 63A (40 KW)</t>
  </si>
  <si>
    <t>Three Phase 16A (10 KW)</t>
  </si>
  <si>
    <t>Trois Phase 16A (10 KW)</t>
  </si>
  <si>
    <t>Trois Phase 32A (20 KW)</t>
  </si>
  <si>
    <t>Trois Phase 63A (40 KW)</t>
  </si>
  <si>
    <t>400 476</t>
  </si>
  <si>
    <t>400 043</t>
  </si>
  <si>
    <t>400 204</t>
  </si>
  <si>
    <t>400 054</t>
  </si>
  <si>
    <t>400 451</t>
  </si>
  <si>
    <t>406 320</t>
  </si>
  <si>
    <t>Français</t>
  </si>
  <si>
    <t>Envoyer à:</t>
  </si>
  <si>
    <t>Language / Idioma / Idiome</t>
  </si>
  <si>
    <t>VERMELHO</t>
  </si>
  <si>
    <t>VERDE</t>
  </si>
  <si>
    <t>AZUL</t>
  </si>
  <si>
    <t>CINZA</t>
  </si>
  <si>
    <t>GREEN</t>
  </si>
  <si>
    <t>BLUE</t>
  </si>
  <si>
    <t>GREY</t>
  </si>
  <si>
    <t>ROJO</t>
  </si>
  <si>
    <t>GRIS</t>
  </si>
  <si>
    <t>RED</t>
  </si>
  <si>
    <t>no Solo</t>
  </si>
  <si>
    <t xml:space="preserve">on the Floor </t>
  </si>
  <si>
    <t xml:space="preserve">en el Suelo </t>
  </si>
  <si>
    <t>au Sol</t>
  </si>
  <si>
    <t>no Estrado do Expositor</t>
  </si>
  <si>
    <t>on the Stage the Exhibitor</t>
  </si>
  <si>
    <t>en la Tarima del Expositor</t>
  </si>
  <si>
    <t>sur Plate-forme d'Exposant</t>
  </si>
  <si>
    <t>Cold water is provided by the 15 mm crystal hose installation with 3/8 or ½ inch faucets and drain liquids/drain with 40 mm pipe.
To install hot water, a thermo-accumulator is installed.
No leads are allowed. One water point must be ordered for each piece of equipment.</t>
  </si>
  <si>
    <t>El agua fría es suministrada por la instalación de la manguera cristal de 15 mm con grifos de 3/8 o ½ pulgada y el drenaje de líquidos/aguas residuales con tubo de 40 mm.
Para la alimentación de agua caliente se instala un calentador.
No se permiten derivaciones. Se debe solicitar un punto de agua para cada equipo.</t>
  </si>
  <si>
    <t>com Recortes de Côr</t>
  </si>
  <si>
    <t>with Color Trimmings</t>
  </si>
  <si>
    <t xml:space="preserve">con Recortes de Color  </t>
  </si>
  <si>
    <t>avec de Lambeaux de Couleur</t>
  </si>
  <si>
    <t>403 230</t>
  </si>
  <si>
    <t xml:space="preserve">The price to rent the space involves the payment of energy consumption of 1 KW per module of 9 sqm. It is a piece of equipment made up of various on-off switches, electric sockets and circuit-breakers.
For example, the tri-phase electric switchboard 10 A has: A 25 A 300 mA on-off switch; Two 10 A circuit-breakers; One 16 A circuit-breaker; One triple electric socket It allows for the distribution of power throughout the various devices in the booth. </t>
  </si>
  <si>
    <t>Conv.</t>
  </si>
  <si>
    <t>ROUGE</t>
  </si>
  <si>
    <t>VERT</t>
  </si>
  <si>
    <t>BLEU</t>
  </si>
  <si>
    <t>Autre couleur</t>
  </si>
  <si>
    <t>Champs Obligatoires</t>
  </si>
  <si>
    <t>Champ Obligatoire</t>
  </si>
  <si>
    <t>TIPO 2</t>
  </si>
  <si>
    <t>TIPO 1</t>
  </si>
  <si>
    <t>◄</t>
  </si>
  <si>
    <t>NOME A FIGURAR NO STAND</t>
  </si>
  <si>
    <t>NAME TO FIGURE IN THE STAND</t>
  </si>
  <si>
    <t>NOMBRE A FIGURAR EN EL STAND</t>
  </si>
  <si>
    <t>NOM À FIGURER DANS LE STAND</t>
  </si>
  <si>
    <t>TIPO  3</t>
  </si>
  <si>
    <t>TIPO 3</t>
  </si>
  <si>
    <t>Campos Obligatorios</t>
  </si>
  <si>
    <t>VAT Number:</t>
  </si>
  <si>
    <t>com Impressão de Logotipo</t>
  </si>
  <si>
    <t>with Logo Printing</t>
  </si>
  <si>
    <t xml:space="preserve">con Impresión de Logótipo    </t>
  </si>
  <si>
    <t>avec Impression de Logo</t>
  </si>
  <si>
    <t>Required Field</t>
  </si>
  <si>
    <t>É o serviço que vai permitir a existência de corrente eléctrica no stand.
É disponibilizado a todos os expositores um cabo/puxada trifásico com potência até 10 KW com uma ligação por tomada trifásica de 32 Amperes tipo CEE 32A /5 pinos fêmea. Se esta energia for suficiente para o seu stand, não é necessário requisitar outra puxada. 
Este serviço é obrigatório e a sua montagem é da exclusiva responsabilidade dos serviços da FIL. 
Requer uma ficha macho do tipo CEE 32A/5 pinos macho. É obrigatória a instalação de quadro eléctrico, não incluído.</t>
  </si>
  <si>
    <t>Es el servicio que permitirá la existencia de corriente eléctrica en el stand.
Está a disposición de todos los expositores un cable con potencia de hasta 10 kW con una conexión de corriente trifásica de salida 32 Amperios tipo CEE 32A / 5-pines hembra. Si esta potencia es suficiente para su stand, no es necesario pedir otro cable.
Este servicio es obligatorio y su montaje es la responsabilidad de los servicios de la FIL.
Requiere un tipo de enchufe CEE 32A / 5 pines macho. Es obligatorio la instalación de un cuadro electrico, no incluido.</t>
  </si>
  <si>
    <t>Il est le service qui permettra à l'existence d'un courant électrique dans le stand.
Il est disponible à tous les exposants un câble / la phase tiré avec une puissance allant jusqu'à 10 kW avec une connexion pour trois phases de sortie 32 Ampères de type CEE 32A / 5 broches femelles. Si cette puissance est suffisante pour votre stand, il ne faut pas commander une autre attraction. Ce service est obligatoire et son assemblage est de la responsabilité des services FIL.
Nécessite un type de prise CEE 32A / 5 broches mâle. Il est obligatoire l'installation de l'armoire, non inclus .</t>
  </si>
  <si>
    <t>Alcatifa cor Cinza</t>
  </si>
  <si>
    <t>Gray color Carpet</t>
  </si>
  <si>
    <t>Moqueta color Gris</t>
  </si>
  <si>
    <t>Moquette couleur Grise</t>
  </si>
  <si>
    <t>Cadeira em PVC branca e pés cinza</t>
  </si>
  <si>
    <t>PVC white chair and feet gray</t>
  </si>
  <si>
    <t>Silla en PVC blanca y Pies Gris</t>
  </si>
  <si>
    <t xml:space="preserve">Chaise en  PVC blanc et pieds gris </t>
  </si>
  <si>
    <t>Porta folhetos 5 bolsas A4</t>
  </si>
  <si>
    <t>Brochure display 5 bags A4</t>
  </si>
  <si>
    <t>Porta folletos 5 bolsas A4</t>
  </si>
  <si>
    <t>Supports de brochure 5 sacs A4</t>
  </si>
  <si>
    <t xml:space="preserve">Mesa redonda branca </t>
  </si>
  <si>
    <t xml:space="preserve">Round table white </t>
  </si>
  <si>
    <t xml:space="preserve">Mesa redonda blanca </t>
  </si>
  <si>
    <t>Table ronde blanc</t>
  </si>
  <si>
    <t>Quadros</t>
  </si>
  <si>
    <t>Água Quente  (serviço adicional ao ponto de água fria)</t>
  </si>
  <si>
    <t>Hot Water   (additional service to the cold water point)</t>
  </si>
  <si>
    <t>Agua Caliente  (servicio adicional al punto de agua fría)</t>
  </si>
  <si>
    <t>Eau Chaude  (service supplémentaire à point d'eau froide)</t>
  </si>
  <si>
    <t>Lava-loiça com bancada</t>
  </si>
  <si>
    <t>Sink  with counter</t>
  </si>
  <si>
    <t>Fregadero</t>
  </si>
  <si>
    <t>Evier avec plan de travail</t>
  </si>
  <si>
    <t>Lava-mãos com Kit de Higienização</t>
  </si>
  <si>
    <t>Lava Manos con Kit de Higienización</t>
  </si>
  <si>
    <t>Lavage des mains avec Kit de Hygiène</t>
  </si>
  <si>
    <t>Hand Washing with Sanitation Kit</t>
  </si>
  <si>
    <t>Ligação de Lava-loiça do Expositor</t>
  </si>
  <si>
    <t>Exhibitor Sink Installation</t>
  </si>
  <si>
    <t>Instalación de Fregadero del Expositor</t>
  </si>
  <si>
    <t>Carpet Colors:</t>
  </si>
  <si>
    <t>Para proceder a uma correcta montagem dos equipamentos/serviços, é imprescindível o envio do PLANO TÉCNICO, com indicação da localização pretendida.</t>
  </si>
  <si>
    <t>In order to proceed to the correct assembly of equipment/services, it is imperative that the TECHNICAL PLAN,  indicating the intended location.</t>
  </si>
  <si>
    <t>Para proceder a un montaje correcto de los equipamientos /servicios, es imprescindible el envío del PLANO TÉCNICO, con indicación de la localización pretendida.</t>
  </si>
  <si>
    <t xml:space="preserve">Pour faire un montage correct des équipements / services, il est essentiel d'envoyer le PLAN TECHNIQUE, montrant l'emplacement souhaité. </t>
  </si>
  <si>
    <t xml:space="preserve">Todos os serviços/material são fornecidos em regime de aluguer durante o período de realização do Certame e são entregues aos Expositores na última tarde de montagem. </t>
  </si>
  <si>
    <t xml:space="preserve">All services / material are rendered by means of a rental mode during the realization period of the Fair and are delivered to the Exhibitor on the last afternoon of the setting up period. </t>
  </si>
  <si>
    <t xml:space="preserve">Todos los servicios/material son suministrados en régimen de alquiler durante el período de realización y se entregan a los Expositores en la última tarde de montaje. </t>
  </si>
  <si>
    <t>Tous les services/matériel sont fournis sur une base de location sur la période de réalisation et livrés aux Exposants dans l'assemblage fin d'après midi.</t>
  </si>
  <si>
    <t>IMAGENS PARA PRODUÇÃO E APLICAÇÃO devem ser enviadas em formato digital, preferencialmente em .PDF, .TIFF ou .JPEG, com uma resolução mínima de 72 dpi’s ao tamanho natural (1:1), com as fontes convertidas em curvas.</t>
  </si>
  <si>
    <t>IMAGES FOR PRODUCTION AND APPLICATION must be submitted in digital format, preferably in .PDF, .TIFF or .JPEG, with a minimum resolution of 72 dpi's natural size (1: 1), with the fonts converted into curves.</t>
  </si>
  <si>
    <t>IMAGENES PARA IMPRESIÓN Y APLICACIÓN deben ser enviadas en formato digital, en los siguientes formatos: .PDF, .TIFF o .JPEG, con una resolución mínima de 72 dpi’s, al tamaño natural (1:1), con las fuentes convertidas en curvas.</t>
  </si>
  <si>
    <t>IMAGES POUR PRODUCTION ET APPLICATION doit être envoyé en format digital, de préférence au format .PDF, .TIFF ou JPEG avec une résolution minimum de 72 DPI à la taille naturel (1: 1), avec les types de lettres converties en courbes.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</si>
  <si>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</si>
  <si>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</si>
  <si>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</si>
  <si>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</si>
  <si>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INVITACIONES ELECTRONICAS</t>
  </si>
  <si>
    <t>BILHETES ELECTRÓNICOS</t>
  </si>
  <si>
    <t>ELECTRONIC TICKETS</t>
  </si>
  <si>
    <t>BILLETS ÉLECTRONIQUES</t>
  </si>
  <si>
    <t>NÃO Inclui</t>
  </si>
  <si>
    <t>NOT includes</t>
  </si>
  <si>
    <t>NO incluye</t>
  </si>
  <si>
    <t>NON inclut</t>
  </si>
  <si>
    <t>INCLUI</t>
  </si>
  <si>
    <t>INCLUDES</t>
  </si>
  <si>
    <t>INCLUYE</t>
  </si>
  <si>
    <t>INCLUT</t>
  </si>
  <si>
    <t>1 Disp.</t>
  </si>
  <si>
    <t>50 Disp.</t>
  </si>
  <si>
    <t>100 Disp.</t>
  </si>
  <si>
    <t>5 Disp.</t>
  </si>
  <si>
    <t>Disponer de una red wi-fi dedicada a su stand. Esta red estará disponible para su uso sólo en el área del stand y puede tener una contraseña / SSID y contraseña personalizable
El ancho de banda base será de 10Mbps, pudiendo ser cambiado mediante la compra de más ancho de banda.</t>
  </si>
  <si>
    <t>Have a wi-fi network dedicated to your stand. This network will be available for use only in the booth area and may have a password / SSID and customizable password
The base bandwidth will be 10Mbps, which can be changed by purchasing more bandwidth.</t>
  </si>
  <si>
    <t>Avoir un réseau wi-fi dédié à votre stand. Ce réseau sera disponible pour une utilisation uniquement dans la zone de la cabine et peut avoir un mot de passe / SSID et un mot de passe personnalisable.
La bande passante de base sera de 10 Mbps, ce qui peut être modifié en achetant plus de bande passante.</t>
  </si>
  <si>
    <t>To use the Premium network it is necessary that users have devices that allow them to access Wi-Fi at a frequency of 5GHz.
The Premium network will be available in all the event halls and allows users to navigate faster and with less interference
The Wi-Fi network is sized for non-intensive use. 
For professional use or for demonstrations we recommend the internet connection / wired network with Internet access.</t>
  </si>
  <si>
    <t>NÃO É PERMITIDO aos clientes ligar os seus próprios equipamentos de distribuição de rede, por exemplo, routers, switches, hubs, Access points/antenas, etc., bem como a utilização de sistemas que recorram à tecnologia Wi-Fi por ex. sistemas robotizados, excepto se previamente justificado por escrito, e aprovado pela Feira Internacional de Lisboa (FIL).  
Qualquer situação detectada que vá contra estas determinações, serão tomadas medidas em conformidade e aos responsáveis serão imputados os custos por possíveis danos e perdas da FIL ou de terceiros.</t>
  </si>
  <si>
    <t xml:space="preserve">NOT PERMITTED to customers connect their own equipment distribution network,  such as, for example, routers, switches, hubs, access points/antennas, etc. as well as the  usage of systems that incur Wi-Fi technology, for example, robotized systems, except if previously justified in writing, and approved by the International Fair of Lisbon (FIL). 
Any situation whatsoever detected that goes against these conditions/norms measures shall be taken in and the client will be charged for any and all costs concerning possible damages and losses caused to the fair or to third parties. </t>
  </si>
  <si>
    <t>NO SE PERMITE a los clientes conectar sus propios equipos de distribución de red,  como por ejemplo, routers, switches, hubs, access points/antenas, etc., así como la utilización de sistemas que recurran a tecnología Wi-Fi por ejemplo, sistemas robotizados, excepto, si previamente han sido solicitados por escrito y aprobados por la Feria Internacional de Lisboa (FIL) . Cualquier situación detectada que vaya en contra de estas determinaciones, se tomaran medidas en conformidad y a los responsables les serán imputados los costes por posibles daños y pierdas de FIL o de terceros.</t>
  </si>
  <si>
    <t>NON PERMIS aux clients de connecter leur propre réseau de distribution de matériel, tels que les routeurs, commutateurs, concentrateurs, points d'accès / antennes, etc., ainsi que l'utilisation de systèmes faisant usage de la technologie Wi-Fi tels que les systèmes robotiques, sauf se ils ont déjà été demandé par écrit et approuvé par la Foire Internationale de Lisbonne (FIL).  
Toute situation détecté que va à l'encontre de ces décisions,des mesures doivent être prises dans le respect et les responsables seront facturés les frais de dommages et perdre FIL ou de tiers.</t>
  </si>
  <si>
    <t>1 Ponto de Rede com INTERNET para 1 PC: Este tipo de ligação, é na maioria dos casos a mais adequada às necessidades de acesso à Internet (navegar na Internet e enviar/receber e-mails). 
Especificações técnicas: Rede com Acesso Internet, com DHCP fornecendo IP Privado com DNS, Largura de banda partilhada até 1 Mbps com uma taxa de contenção de 1:10, sem limite de tráfego. Terminações RJ45.  A largura de banda adicional é recomendada se o expositor necessitar de velocidade no acesso (transmissões vídeo, webcast, VPN, etc). Neste caso a Largura de Banda solicitada é integral, isto é, com uma taxa de contenção de 1:1. 
Largura de banda superiores a 100Mbps,  necessitam  ser requisitada pelo menos com 1 mês de antecedência.</t>
  </si>
  <si>
    <t>1 Punto de Red con INTERNET para 1 PC: Este tipo de conexión, es, en la gran parte de los casos, la más adecuada a las necesidades de acceso a Internet (navegar por Internet y enviar/recibir correos).
Especificaciones técnicas: Red con Acceso Internet, con DHCP suministrando IP Privado, con DNS, Anchura de banda compartida hasta 1 Mbps con una tasa de contención de 1:10, sin límite de tráfico. Terminaciones RJ45. Se recomienda la anchura de banda adicional es recomendada si el expositor necesita de velocidad en el acceso (transmisiones vídeo, webcast, VPN, etc). En este caso, la Anchura de Banda solicitada es integral, es decir, con una tasa de contención de 1:1. 
Anchura de banda superiores a 100Mbps, necesitan de ser solicitadas por lo menos con 1 mes de antelación.</t>
  </si>
  <si>
    <t>1 Point réseau avec INTERNET pour 1 PC: Ce type de connexion est, dans la plupart des cas, le mieux adapté aux besoins d’accès à Internet (surfer sur Internet et envoyer / recevoir des courriels).
Spécifications techniques: Réseau avec accès Internet, avec DHCP fournissant une adresse IP privée, avec DNS, bande passante partagée allant jusqu'à 1 Mbps avec un taux de confinement de 1:10, sans limite de trafic. Terminaisons RJ45. Il est recommandé de prévoir une bande passante supplémentaire si l'exposant a besoin d'un accès rapide (transmission vidéo, diffusion sur le Web, VPN, etc.). Dans ce cas, la bande passante demandée est intégrale, c'est-à-dire avec un taux de confinement de 1: 1.
Largeur supérieure à 100 Mbps bande doivent être demandé au moins un mois à l'avance.</t>
  </si>
  <si>
    <t>Para utilizar la red Premium es necesario que los usuarios tengan dispositivos que les permitan acceder al wi-fi a la frecuencia de 5GHz. La red Premium estará disponible en todos los pabellones del evento y permite a los usuarios navegar de forma más rápida y con menos interferencias. La red Wi-Fi está dimensionado para un uso no intensivo. Para uso profesional o para demostraciones recomendamos la conexión a internet/red cableada con acceso a Internet.</t>
  </si>
  <si>
    <t>Para utilização da rede Premium é necessário que os utilizadores tenham dispositivos que lhes permitam aceder ao wi-fi na frequência 5GHz. A rede Premium estará disponível em todos os pavilhões do evento e permite aos utilizadores navegarem de forma mais rápida e com menos interferências. A rede wi-fi está dimensionada para um uso não intensivo. Para uma utilização profissional ou de demonstrações recomendamos a utilização de internet cablada/ponto de rede com acesso à internet.</t>
  </si>
  <si>
    <t>Pour utiliser le réseau Premium, les utilisateurs doivent disposer d'appareils leur permettant d'accéder au Wi-Fi à une fréquence de 5 GHz. Le réseau Premium sera disponible dans tous les pavillons de l'événement et permettra aux utilisateurs de naviguer plus rapidement et avec moins d'interférences. Le réseau Wi-Fi est dimensionné pour une utilisation non intensive. Pour un usage professionnel et des démonstrations, nous vous recommandons d'utiliser le câble Point avec accès internet Internet / réseau.</t>
  </si>
  <si>
    <t xml:space="preserve">Disponibilização de uma rede wi-fi dedicada ao seu stand. Esta rede ficará disponível para utilização apenas na área do stand e poderá ter nome da rede/SSID e chave/password personalizável
A largura de banda base será de 10Mbps, podendo ser alterada mediante compra de mais largura de banda. </t>
  </si>
  <si>
    <r>
      <rPr>
        <sz val="8"/>
        <color theme="3"/>
        <rFont val="Calibri"/>
        <family val="2"/>
      </rPr>
      <t>Acesso gratuíto a</t>
    </r>
    <r>
      <rPr>
        <sz val="8"/>
        <color theme="3"/>
        <rFont val="Calibri"/>
        <family val="2"/>
        <scheme val="minor"/>
      </rPr>
      <t xml:space="preserve"> rede Wi-Fi existente nos Pavilhões da FIL, na frequência 2.4GHz, sem limite de utilizadores. A FIL não garante a velocidade de navegação nesta rede, que estará condicionada pelo número de utilizadores e pelo ruído existente no recinto.</t>
    </r>
  </si>
  <si>
    <t>Free access to Wi-Fi network in the FIL Pavilions, in the 2.4GHz frequency, with no user limit. The FIL does not guarantee the speed of navigation in this network, which will be conditioned by the number of users and the noise existing in the venue.</t>
  </si>
  <si>
    <t>Accès gratuit au réseau Wi-Fi existant dans les pavillons FIL, à la fréquence de 2,4 GHz, sans limitation du nombre d'utilisateurs. FIL ne garantit pas la vitesse de navigation sur ce réseau, qui sera conditionné par le nombre d'utilisateurs et le bruit existant dans le parc.</t>
  </si>
  <si>
    <t>Acceso gratuito a la red Wi-Fi existente en los Pabellones de la FIL, en la frecuencia 2.4GHz, sin límite de usuarios. FIL no garantiza la velocidad de navegación en esta red, que estará condicionada por el número de usuarios y el ruido existente en el recinto.</t>
  </si>
  <si>
    <t>PARQUE SUBTERRÂNEO</t>
  </si>
  <si>
    <t>PARKING SOUTERRAIN</t>
  </si>
  <si>
    <t>KW</t>
  </si>
  <si>
    <t>Iluminação e Energia 220v / 380v - consumo total necessário</t>
  </si>
  <si>
    <t>Lighting and Power 220v / 380v - total consumption necessary</t>
  </si>
  <si>
    <t>Iluminación y Energía 220v / 380v - consumo total necesario</t>
  </si>
  <si>
    <t>Eclairage et Energie 220v / 380v - consommation total necessaire</t>
  </si>
  <si>
    <t>Projector de Braço 300 W</t>
  </si>
  <si>
    <t>Spotligh with Arm 300 W</t>
  </si>
  <si>
    <t>Foco de Brazo 300 W</t>
  </si>
  <si>
    <t>Projecteur avec Bras 300 W</t>
  </si>
  <si>
    <t>400 477</t>
  </si>
  <si>
    <t>Torre de Iluminação (sem projectores) 2,50m alt.</t>
  </si>
  <si>
    <t>Illumination Tower (without projectors) 2,50m height</t>
  </si>
  <si>
    <t>Torre de Iluminación (sin focos) 2,50m alt.</t>
  </si>
  <si>
    <t>Tour d'Eclairege  (pas de projecteurs) 2,50m hauteur</t>
  </si>
  <si>
    <t>400 640</t>
  </si>
  <si>
    <t>AR COMPRIMIDO</t>
  </si>
  <si>
    <t>COMPRESSED AIR</t>
  </si>
  <si>
    <t>AIRE COMPRIMIDO</t>
  </si>
  <si>
    <t>AIR COMPRIMÉ</t>
  </si>
  <si>
    <t>Ligação e Fornecimento-6 BAR e MÍN. 500 l/s</t>
  </si>
  <si>
    <t>Connection and Supply - 6 BAR and MIN. 500l/s</t>
  </si>
  <si>
    <t>Connexion et Alimentation-6 BAR et MIN. 500 l/s</t>
  </si>
  <si>
    <t>400 735</t>
  </si>
  <si>
    <t>TELECOMUNICAÇÕES</t>
  </si>
  <si>
    <t>TELECOMMUNICATIONS</t>
  </si>
  <si>
    <t>TELECOMUNICACIONES</t>
  </si>
  <si>
    <t>TÉLÉCOMMUNICATIONS</t>
  </si>
  <si>
    <t>HOSPEDEIRAS</t>
  </si>
  <si>
    <t>HOSTESSES</t>
  </si>
  <si>
    <t>AZAFATAS</t>
  </si>
  <si>
    <t>HÔTESSES</t>
  </si>
  <si>
    <t>Português + 1 Idioma</t>
  </si>
  <si>
    <t>Portuguese + 1 Language</t>
  </si>
  <si>
    <t>Portugués + 1 Idioma</t>
  </si>
  <si>
    <t>Portugais + 1 Langue</t>
  </si>
  <si>
    <t>Português + 2 Idiomas</t>
  </si>
  <si>
    <t>Portuguese + 2 Languages</t>
  </si>
  <si>
    <t>Portugués + 2 Idiomas</t>
  </si>
  <si>
    <t>Portugais + 2 Langues</t>
  </si>
  <si>
    <t>Inglês</t>
  </si>
  <si>
    <t>Espanhol</t>
  </si>
  <si>
    <t>Francês</t>
  </si>
  <si>
    <t>Spanish</t>
  </si>
  <si>
    <t>French</t>
  </si>
  <si>
    <t>Inglés</t>
  </si>
  <si>
    <t>Francés</t>
  </si>
  <si>
    <t>Anglais</t>
  </si>
  <si>
    <t>Espagnol</t>
  </si>
  <si>
    <t>Inglês / Espanhol</t>
  </si>
  <si>
    <t>Inglês / Francês</t>
  </si>
  <si>
    <t>Francês / Espanhol</t>
  </si>
  <si>
    <t>English / Spanish</t>
  </si>
  <si>
    <t>English / French</t>
  </si>
  <si>
    <t>French / Spanish</t>
  </si>
  <si>
    <t>Inglés / Español</t>
  </si>
  <si>
    <t>Inglés / Francés</t>
  </si>
  <si>
    <t>Francés / Español</t>
  </si>
  <si>
    <t>Anglais / Espagnol</t>
  </si>
  <si>
    <t>Anglais / Français</t>
  </si>
  <si>
    <t>Français / Espagnol</t>
  </si>
  <si>
    <t xml:space="preserve"> Horas</t>
  </si>
  <si>
    <t xml:space="preserve"> Hour</t>
  </si>
  <si>
    <t xml:space="preserve"> Heures</t>
  </si>
  <si>
    <t>Outro</t>
  </si>
  <si>
    <t>Other</t>
  </si>
  <si>
    <t>Otro</t>
  </si>
  <si>
    <t>Autre</t>
  </si>
  <si>
    <t>Observações:</t>
  </si>
  <si>
    <t>Observations:</t>
  </si>
  <si>
    <t>Observaciones:</t>
  </si>
  <si>
    <t>Remarques:</t>
  </si>
  <si>
    <t xml:space="preserve">VIGILÂNCIA </t>
  </si>
  <si>
    <t>SURVEILLANCE</t>
  </si>
  <si>
    <t xml:space="preserve">VIGILANCIA </t>
  </si>
  <si>
    <t>407 897</t>
  </si>
  <si>
    <t>407 898</t>
  </si>
  <si>
    <t>400 485</t>
  </si>
  <si>
    <t>Vigil</t>
  </si>
  <si>
    <t>400 692</t>
  </si>
  <si>
    <t>m3</t>
  </si>
  <si>
    <t>Alcatifa</t>
  </si>
  <si>
    <t>Estrado</t>
  </si>
  <si>
    <t xml:space="preserve">Tem por função: Distribuição de material promocional no espaço do stand; Apoio protocolar; Demonstração dos produtos e serviços; Atendimento dos clientes. </t>
  </si>
  <si>
    <t xml:space="preserve">Function: Distribution of the promotional material in the area of the booth; Protocol support; Demonstration of the products and services; Client services. </t>
  </si>
  <si>
    <t xml:space="preserve">Tienen por función: Distribución de material promocional en el espacio del stand; Apoyo protocolario; Demostración de los productos y servicios; Atención al cliente. </t>
  </si>
  <si>
    <t>Sa fonction: Distribution de matériel promotionnel dans le stand; Support de protocole; Démonstration de produits et services; Service à la clientèle.</t>
  </si>
  <si>
    <t xml:space="preserve">Período mínimo de contratação - 4 horas. </t>
  </si>
  <si>
    <t>Minimum contracting - 4 hour period.</t>
  </si>
  <si>
    <t xml:space="preserve">Periodo minimo de contratación - 4 horas. </t>
  </si>
  <si>
    <t>Durée minimale de engagement - 4 heures.</t>
  </si>
  <si>
    <t xml:space="preserve">Horário - Exclusivamente o horário do certame e inclui uma hora de pausa para refeição. 
No primeiro dia de feira, apresentar-se-ão ½ hora antes do início da realização, nos restantes dias, no horário de abertura do certame. </t>
  </si>
  <si>
    <t xml:space="preserve">Working hours - Only the working hours of the event including a one hour break for lunch. On the first day of the fair, they will report ½ hour before the start of the show, and on the rest of the days at the opening time of the event. </t>
  </si>
  <si>
    <t xml:space="preserve">Horario - Exclusivamente el horario del Certamen, con inclusión de una hora de intervalo para la comida. 
El primer día de feria se presentarán ½ hora antes del inicio del Certamen; el resto de los días, en el horario de apertura del mismo. </t>
  </si>
  <si>
    <t>Temps - Exclusivement le temps de l'événement et comprend une pause d'une heure pour le repas.
Le premier jour de la foire, il sera présenté ½ heure avant début de la réalisation, les jours restants, au moment de l'événement.</t>
  </si>
  <si>
    <t>Tem por função garantir a segurança dos produtos expostos no Stand.</t>
  </si>
  <si>
    <t>Its function is to ensure the safety of products displayed on Stand.</t>
  </si>
  <si>
    <t>Tienen por función garantizar la seguridad de los productos expuestos en el stand.</t>
  </si>
  <si>
    <t>Sa fonction est d'assurer la sécurité des produits présentés sur le stand.</t>
  </si>
  <si>
    <t xml:space="preserve">Período mínimo de contratação: </t>
  </si>
  <si>
    <t>Period of minimum contracting:</t>
  </si>
  <si>
    <t>Periodo de contratación mínimo:</t>
  </si>
  <si>
    <t>Durée minimale du engagement:</t>
  </si>
  <si>
    <t>Segurança durante o dia - 1 dia de realização da Feira. Segurança durante a Noite - Da hora de encerramento até à hora de realização.
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t>
  </si>
  <si>
    <t>Day-time security - 1 day during the opening times of the Fair. Night-time security - From the exhibition's closing time until it opens again.
If the exhibitor intends to do a briefing before the start of the event, this must be mentioned in the observations section of the form. In this case, the security guards will report on the first day of the fair, ½ hour before the start. In the opposite case, they will report to the booth when the event opens.</t>
  </si>
  <si>
    <t>Seguridad durante el día - 1 día de realización de la Feria. Seguridad durante la Noche - Desde la hora de cierre hasta la hora de apertura.
En caso de que el expositor pretenda efectuar un briefing antes del inicio del Certamen, deberá mencionar esa necesidad en el campo de las observaciones.  De esta forma, la seguridad se presentará, el primer día de la feria, ½ hora antes del inicio de la misma. En caso contrario, se presentará en el stand a la hora de apertura del Certamen.</t>
  </si>
  <si>
    <t>Sécurité pendant le jour - 1 jour de réalisation de la Foire. Sécurité pendant la Nuit - Depuis l'heure de la fermeture à l'heure d'ouverture.
Si vous voulez faire un briefing avant le début de l'événement, doit mentionner ce besoin dans le domaine des observations, dans ce cas, les agents de sécurité seront présents le premier jour de la foire, une demi-heure avant le début de la mise en œuvre.
 Sinon, ils feront rapport au stand, le temps d'ouverture de l'Exposition.</t>
  </si>
  <si>
    <t>6 m3 =</t>
  </si>
  <si>
    <t>20 m3 =</t>
  </si>
  <si>
    <t>30 m3 =</t>
  </si>
  <si>
    <t>It is the service that will allow the existence of electric current in the stand.
A three-phase cable / pull with up to 10 kW power is available to all exhibitors with a 3-phase 32-amp / 5-pin female type socket. If this power is sufficient for your stand, you do not need to order another pull.
This service is mandatory and its assembly is the sole responsibility of FIL services.
Requires a male plug type CEE 32A / 5 pin male. It is mandatory to install an electric switchboard, not included.</t>
  </si>
  <si>
    <t xml:space="preserve">ALCATIFA </t>
  </si>
  <si>
    <t>CARPET</t>
  </si>
  <si>
    <t>MOQUETA</t>
  </si>
  <si>
    <t>MOQUETTE</t>
  </si>
  <si>
    <t>(para Stand próprio  -  Fornecimento e Colocação)</t>
  </si>
  <si>
    <t>(Stand for itself  -  Supply and Placement)</t>
  </si>
  <si>
    <t>(para Stand próprio  -  Suministro y Colocación)</t>
  </si>
  <si>
    <t>(pour Stand propre  -  Fourniture et Installation)</t>
  </si>
  <si>
    <t>Estrutura cubo em aglomerado de madeira</t>
  </si>
  <si>
    <t>Cube structure Chipboard</t>
  </si>
  <si>
    <t xml:space="preserve">Estructura cubo en aglomerado de madera </t>
  </si>
  <si>
    <t>Structure Cube aggloméré</t>
  </si>
  <si>
    <t>O consumo de energia obrigátorio corresponde a 1KW por cada 9m2. No caso de necessitar de uma puxada de maior potencia do que a que lhe é disponibilizada -10KW-, deverá  requisitar os consumos de energia suplementar correspondentes: 
Exemplo: Se tem 54m2  e necessita de 20 KW de potência. O consumo obrigatório corresponde a 6 KW [1 KW por cada 9m2  (54:9)=6]. Como necessita de 20 KW deverá requisitar 14 KW de consumo suplementar.</t>
  </si>
  <si>
    <t xml:space="preserve">El consumo de energía obligátorio corresponde a 1KW por cada 9m2. Caso necesite de una toma eléctrica de más potencia de que la disponibilizada-10KW-, deberá solicitar los consumos de energia suplementar correspondientes: 
Ejemplo: Si tiene 54m2  y necesita de 20 KW de potência. El consumo obligatorio corresponde a 6 KW [1 KW por cada 9m2  (54:9)=6]. Como necesita de 20 KW deberá solicitar 14 KW de consumo suplementario. </t>
  </si>
  <si>
    <t>La consommation d'énergie obligatoire correspondent à 1KW par 9m2. Au cas où vous besoin d'une puissance plus élevée tiré que celui qu'elle est disponible -10 KW-devrait demander la consommation d'énergie supplémentaire correspondant 
Exemple: Si vous avez des 54m2 et nécessite 20 KW de puissance. La consommation est obligatoire 6 KW [1 KW par 9m2 (54: 9) = 6]. Comme il nécessite 20 KW devrait demander 14 KW consommation supplémentaire.</t>
  </si>
  <si>
    <t>PRETENDE ALTERAR A COR DA ALCATIFA?</t>
  </si>
  <si>
    <t>¿PRETENDE CAMBIAR EL COLOR DE LA MOQUETA?</t>
  </si>
  <si>
    <t>(Sob Orçamento)</t>
  </si>
  <si>
    <t>(Under budget)</t>
  </si>
  <si>
    <t>(Bajo presupuesto)</t>
  </si>
  <si>
    <t>(Sous budget)</t>
  </si>
  <si>
    <t>VOULEZ CHANGER LA COULEUR DU MOQUETTE?</t>
  </si>
  <si>
    <t>Conexión y Suministro - 6 BAR y MÍN. 500 l/s</t>
  </si>
  <si>
    <t>Contentor</t>
  </si>
  <si>
    <t>Conten</t>
  </si>
  <si>
    <t>Estrados</t>
  </si>
  <si>
    <t>DO YOU WANT TO CHANGE COLOR THE CARPET?</t>
  </si>
  <si>
    <t>MATERIAL GRÁFICO</t>
  </si>
  <si>
    <t>GRAPHIC MATERIAL</t>
  </si>
  <si>
    <t>MATERIEL GRAPHIQUE</t>
  </si>
  <si>
    <t>MOBILIÁRIO / MATERIAL</t>
  </si>
  <si>
    <t>FURNITURE / MATERIAL</t>
  </si>
  <si>
    <t>MOBILIARIO / MATERIAL</t>
  </si>
  <si>
    <t>MEUBLES / MATERIEL</t>
  </si>
  <si>
    <t>COM Alcatifa</t>
  </si>
  <si>
    <t>WITH Carpet</t>
  </si>
  <si>
    <t>CON Moqueta</t>
  </si>
  <si>
    <t>AVEC Moquette</t>
  </si>
  <si>
    <t>SEM Alcatifa</t>
  </si>
  <si>
    <t>WITHOUT Carpet</t>
  </si>
  <si>
    <t>SIN Moqueta</t>
  </si>
  <si>
    <t>SANS Moquette</t>
  </si>
  <si>
    <t>Cabo de Rede com Internet para 1 PC</t>
  </si>
  <si>
    <t>Network Cable with Internet for 1 PC</t>
  </si>
  <si>
    <t>Cable de Red con Internet para 1 PC</t>
  </si>
  <si>
    <t>Câble de Réseau avec Internet pour 1 PC</t>
  </si>
  <si>
    <t>Rede Wi-Fi Premium 5GHz  - 1 Dispositivo</t>
  </si>
  <si>
    <t>Rede Wi-Fi Premium 5GHz - 5 Dispositivos</t>
  </si>
  <si>
    <t>Rede Wi-Fi Premium 5GHz - 50 Dispositivos</t>
  </si>
  <si>
    <t>Rede Wi-Fi Premium 5GHz - 100 Dispositivos</t>
  </si>
  <si>
    <t>Rede Wi-Fi Dedicada ao Stand - 50 Dispositivos</t>
  </si>
  <si>
    <t>Wi-Fi Network Premium 5GHz - 1 Device</t>
  </si>
  <si>
    <t>Wi-Fi Network Premium 5GHz - 5 Devices</t>
  </si>
  <si>
    <t>Wi-Fi Network Premium 5GHz - 50 Devices</t>
  </si>
  <si>
    <t>Wi-Fi Network Premium 5GHz - 100 Devices</t>
  </si>
  <si>
    <t>Wi-Fi Network Dedicated to Stand - 50 Devices</t>
  </si>
  <si>
    <t>Red Wi-Fi Premium 5GHz - 1 Dispositivo</t>
  </si>
  <si>
    <t>Red Wi-Fi Premium 5GHz - 5 Dispositivos</t>
  </si>
  <si>
    <t>Red Wi-Fi Premium 5GHz - 50 Dispositivos</t>
  </si>
  <si>
    <t>Red Wi-Fi Premium 5GHz - 100 Dispositivos</t>
  </si>
  <si>
    <t>Red Wi-Fi Dedicada al Stand - 50 Dispositivos</t>
  </si>
  <si>
    <t>Réseau Wi-Fi Premium 5GHz - 1 Dispositif</t>
  </si>
  <si>
    <t>Réseau Wi-Fi Premium 5GHz - 5 Dispositif</t>
  </si>
  <si>
    <t>Réseau Wi-Fi Premium 5GHz - 50 Dispositif</t>
  </si>
  <si>
    <t>Réseau Wi-Fi Premium 5GHz - 100 Dispositif</t>
  </si>
  <si>
    <t>Réseau Wi-Fi Dédié au Stand - 50 Dispositif</t>
  </si>
  <si>
    <t>ÁGUA E ESGOTO</t>
  </si>
  <si>
    <t>WATER AND DRAIN</t>
  </si>
  <si>
    <t>AGUA Y DESAGÜE</t>
  </si>
  <si>
    <t>EAU ET ÉGOUT</t>
  </si>
  <si>
    <t>Ponto de Água Fria e Esgoto</t>
  </si>
  <si>
    <t>Point Water and Drain</t>
  </si>
  <si>
    <t>Punto Agua Fria y Desagüe</t>
  </si>
  <si>
    <t>Point d'Eau Froide et d'Égout</t>
  </si>
  <si>
    <t>Com</t>
  </si>
  <si>
    <t>Sem</t>
  </si>
  <si>
    <t>( &gt; 81 m2 sob orçamento)</t>
  </si>
  <si>
    <t>( &gt; 81 m2 bajo presupuesto)</t>
  </si>
  <si>
    <t>( &gt; 81 m2 sous budget)</t>
  </si>
  <si>
    <t xml:space="preserve">ESTRADOS </t>
  </si>
  <si>
    <t>STAGES</t>
  </si>
  <si>
    <t xml:space="preserve">TARIMAS </t>
  </si>
  <si>
    <t>PLATEFORMES</t>
  </si>
  <si>
    <t>Rede Wi-Fi Dedicada ao Stand</t>
  </si>
  <si>
    <t>Wi-Fi Network Dedicated to Stand</t>
  </si>
  <si>
    <t>Red Wi-Fi Dedicada al Stand</t>
  </si>
  <si>
    <t>Reseau Wi-Fi Dedie au Stand</t>
  </si>
  <si>
    <t>Rede Wi-Fi 2.4GHz</t>
  </si>
  <si>
    <t>Wi-Fi Network 2.4GHz</t>
  </si>
  <si>
    <t>Red Wi-Fi 2.4GHz</t>
  </si>
  <si>
    <t>Reseau Wi-Fi 2.4GHz</t>
  </si>
  <si>
    <t>Rede Wi-Fi Premium  5GHz</t>
  </si>
  <si>
    <t xml:space="preserve"> Wi-Fi Network Premium  5GHz</t>
  </si>
  <si>
    <t>Red Wi-Fi Premium  5GHz</t>
  </si>
  <si>
    <t>Reseau Wi-Fi Premium  5GHz</t>
  </si>
  <si>
    <t>INTERNET</t>
  </si>
  <si>
    <t>1 Network Connection with Internet Access for 1 PC: This type of connection, is, in the majority of instances, the most adequate regarding the requirement for Internet Access (browsing the Internet and sending/receiving emails).
Technical Specifications: Network with Internet Access, with DHCP providing Private IP, with DNS, Shared bandwidth up to 1 Mbps with a contention ratio of 1:10, unlimited website traffic. Terminations RJ45. Additional bandwidth is recommended if the exhibitor requires high speed access (transmissions, video, web cast, VPN, etc). 
In this case, the requested bandwidth is integral, that is, with a contention ratio of 1:1. 
Bandwidths superior to 100Mbps, must be requested at least one month in advance.</t>
  </si>
  <si>
    <t>COM</t>
  </si>
  <si>
    <t>SEM</t>
  </si>
  <si>
    <t>Lim+Alc.</t>
  </si>
  <si>
    <t>Cabo</t>
  </si>
  <si>
    <t>Energ</t>
  </si>
  <si>
    <t>PT</t>
  </si>
  <si>
    <t xml:space="preserve">PT </t>
  </si>
  <si>
    <t>pág. 3</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</si>
  <si>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</si>
  <si>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</si>
  <si>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SUB-TOTAL</t>
  </si>
  <si>
    <t>PARKING SUBTERRANEAN</t>
  </si>
  <si>
    <t>PARKING SUBTERRÁNEO</t>
  </si>
  <si>
    <t>ESPAÇO  -  2º Piso</t>
  </si>
  <si>
    <t>SPACE  -  2nd Floor</t>
  </si>
  <si>
    <t>ESPACIO  -  2ª Planta</t>
  </si>
  <si>
    <t>ESPACE - 2e Étage</t>
  </si>
  <si>
    <t>TOTAL DA REQUISIÇÃO</t>
  </si>
  <si>
    <t>TOTAL REQUEST</t>
  </si>
  <si>
    <t>TOTAL DE LA SOLICITUD</t>
  </si>
  <si>
    <t>TOTAL DE LA DEMANDE</t>
  </si>
  <si>
    <t>e o</t>
  </si>
  <si>
    <t>and the</t>
  </si>
  <si>
    <t>y el</t>
  </si>
  <si>
    <t>O Stand inclui Tomada Tripla e será entregue à partir das 15H00 do dia</t>
  </si>
  <si>
    <t>The Stand includes Triple Plug and is delivered from 15H00 the day</t>
  </si>
  <si>
    <t>El Stand incluye  Enchufe Triple y se entrega a partir de las 15H00 del dia</t>
  </si>
  <si>
    <t>Le Stand  inclut  Triple Socket et sera livré à partir de 15H00 le jour</t>
  </si>
  <si>
    <t>More than 36 m2:  to analyzed</t>
  </si>
  <si>
    <t>Balcão FIL A - branco e cinza, prateleira, portas e fechadura (1,03x 0,50x1,00 Alt)</t>
  </si>
  <si>
    <t>Counter FIL A - white and gray, shelf, sliding doors and lock (1,03x0,50x1,00 height)</t>
  </si>
  <si>
    <t>Mostrador FIL A - blanco y gris, balda, puertas y cerradura (1,03x0,50x1,00 Alt)</t>
  </si>
  <si>
    <t>Bureau FIL A - blanc et gris, étagère, portes et serrure (1,03x0,50x1,00 Hauteur)</t>
  </si>
  <si>
    <t>( &gt; 81 m2 by budget)</t>
  </si>
  <si>
    <t xml:space="preserve">Por cada 9 m2 serão atribuidos </t>
  </si>
  <si>
    <t>For each 9 sqm will be allocated</t>
  </si>
  <si>
    <t>Por cada 9 m2 se asignará</t>
  </si>
  <si>
    <t>Pour chaque 9 m2 seront alloués</t>
  </si>
  <si>
    <t>bilhetes gratuítos, válidos para um único acesso.</t>
  </si>
  <si>
    <t>free tickets, valid for a single access.</t>
  </si>
  <si>
    <t>billets gratuits, valables pour un accès unique.</t>
  </si>
  <si>
    <t xml:space="preserve">● </t>
  </si>
  <si>
    <t>27 m2:</t>
  </si>
  <si>
    <t>36 m2:</t>
  </si>
  <si>
    <t>(1,40m x 0,90m x 2,30m)</t>
  </si>
  <si>
    <t>(0,80m x 2,30m)</t>
  </si>
  <si>
    <t>(1,40m x 2,30m)</t>
  </si>
  <si>
    <t>(1,40m</t>
  </si>
  <si>
    <t>(2,80m x 1,00m x 2,30m)</t>
  </si>
  <si>
    <t>(2,80m x 2,30m)</t>
  </si>
  <si>
    <t>(2,00m</t>
  </si>
  <si>
    <t>(0,90m</t>
  </si>
  <si>
    <t xml:space="preserve">Até 18 m2: </t>
  </si>
  <si>
    <t>Up to 18 m2:</t>
  </si>
  <si>
    <t>Hasta 18 m2:</t>
  </si>
  <si>
    <t>Jusqu'à 18 m2:</t>
  </si>
  <si>
    <t>Gabinete com porta em MDF pintado a branco</t>
  </si>
  <si>
    <t>Cabinet with door in MDF painted white</t>
  </si>
  <si>
    <t>Almacén con puerta en MDF pintado en blanco</t>
  </si>
  <si>
    <t>Cabinet avec porte en MDF peinte en blanc</t>
  </si>
  <si>
    <t>Cadeiras</t>
  </si>
  <si>
    <t>Chairs</t>
  </si>
  <si>
    <t>Sillas</t>
  </si>
  <si>
    <t>Chaises</t>
  </si>
  <si>
    <t>Lona fixa ao modulo com imagem num só lado</t>
  </si>
  <si>
    <t>Canvas with image printed in one side</t>
  </si>
  <si>
    <t>Lienzo fija al modulo con imagen en um sólo lado</t>
  </si>
  <si>
    <t>Canvas fixe au module avec l'image d'un côté</t>
  </si>
  <si>
    <t>Régua de Projectores por cada 9 m2</t>
  </si>
  <si>
    <t>Fotografia (parede de fundo junto ao gabinete)</t>
  </si>
  <si>
    <t>Ruler of Projectors per 9 m2</t>
  </si>
  <si>
    <t>Photo (bottom wall next to the cabinet)</t>
  </si>
  <si>
    <t>Listón de Focos por cada 9 m2</t>
  </si>
  <si>
    <t>Foto (pared de fondo junto al gabinete)</t>
  </si>
  <si>
    <t>Règle de Projecteurs par 9 m2</t>
  </si>
  <si>
    <t>Photo (mur de fond à côté de bureau)</t>
  </si>
  <si>
    <t>Lonas fixas ao módulo superior com imagem num só lado</t>
  </si>
  <si>
    <t>altura)</t>
  </si>
  <si>
    <t>central)</t>
  </si>
  <si>
    <t>alt.)</t>
  </si>
  <si>
    <t>Canvas fixé au module supérieur avec l'image d'un côté</t>
  </si>
  <si>
    <t>hauteur)</t>
  </si>
  <si>
    <t>Estrado 0,10m Alcatifado</t>
  </si>
  <si>
    <t>comprimento)</t>
  </si>
  <si>
    <t>Stage 0,10m carpet-covered</t>
  </si>
  <si>
    <t>length)</t>
  </si>
  <si>
    <t>Tarima 0,10m enmoquetada</t>
  </si>
  <si>
    <t>largo)</t>
  </si>
  <si>
    <t>Plate-forme 0,10m tapissée</t>
  </si>
  <si>
    <t>longue)</t>
  </si>
  <si>
    <t>Paredes em painéis laminados a branco</t>
  </si>
  <si>
    <t>Walls with white laminated panels</t>
  </si>
  <si>
    <t>Paredes en paneles laminados en blanco</t>
  </si>
  <si>
    <t>Murs en panneaux de stratifié blanc</t>
  </si>
  <si>
    <t>Cleaning</t>
  </si>
  <si>
    <t>Limpieza</t>
  </si>
  <si>
    <t>Nettoyage</t>
  </si>
  <si>
    <t>Estrutura central em perfis de madeira de secção quadrada com 10 cm, pintados de branco (3,00 x 3,00 x 5,00 alt.)</t>
  </si>
  <si>
    <t>Estructura central en perfiles de madera de sección cuadrada de 10 cm, pintada de blanco (3,00 x 3,00 x 5,00 alt.)</t>
  </si>
  <si>
    <t>Central structure in wooden profiles with a 10 cm square section, painted white (3.00 x 3.00 x 5.00 height)</t>
  </si>
  <si>
    <t>Structure centrale en profilés de bois de section carrée de 10 cm, peinte en blanc (3,00 x 3,00 x 5,00 hauteur)</t>
  </si>
  <si>
    <t>O Stand inclui Quadro Eléctrico e será entregue à partir das 15H00 do dia</t>
  </si>
  <si>
    <t>The Stand includes Electric Board and is delivered from 15H00 the day</t>
  </si>
  <si>
    <t>El Stand incluye Cuadro Eléctrico y se entrega a partir de las 15H00 del dia</t>
  </si>
  <si>
    <t>Le Stand  inclut Tableau Électrique et sera livré à partir de 15H00 le jour</t>
  </si>
  <si>
    <t>(2,50m</t>
  </si>
  <si>
    <t>(Máximo 20 caracteres)</t>
  </si>
  <si>
    <t>(Maximum 20 characters)</t>
  </si>
  <si>
    <t>(Maximum 20 caractères)</t>
  </si>
  <si>
    <t>cm of height</t>
  </si>
  <si>
    <t>cm de hauteur</t>
  </si>
  <si>
    <t>cm de alto</t>
  </si>
  <si>
    <t>cm de altura</t>
  </si>
  <si>
    <t>3,2 cm de altura</t>
  </si>
  <si>
    <t>3,2 cm of height</t>
  </si>
  <si>
    <t>3,2 cm de alto</t>
  </si>
  <si>
    <t>3,2 cm de hauteur</t>
  </si>
  <si>
    <t>10 cm de altura</t>
  </si>
  <si>
    <t>10 cm of height</t>
  </si>
  <si>
    <t>10 cm de alto</t>
  </si>
  <si>
    <t>10 cm de hauteur</t>
  </si>
  <si>
    <t>pág. 4</t>
  </si>
  <si>
    <t>Alc. Stand</t>
  </si>
  <si>
    <t>5 Mbps</t>
  </si>
  <si>
    <t>10 Mbps</t>
  </si>
  <si>
    <t>20 Mbps</t>
  </si>
  <si>
    <t>50 Mbps</t>
  </si>
  <si>
    <t>LCD 32</t>
  </si>
  <si>
    <t>LED 40</t>
  </si>
  <si>
    <t>LED 55</t>
  </si>
  <si>
    <t>LCD 32"</t>
  </si>
  <si>
    <t>409 102</t>
  </si>
  <si>
    <t>(Inclui ponto de rede)</t>
  </si>
  <si>
    <t>(Includes network point)</t>
  </si>
  <si>
    <t>(Incluye punto de red)</t>
  </si>
  <si>
    <t>(Inclut point de réseau)</t>
  </si>
  <si>
    <t>100 Mbps</t>
  </si>
  <si>
    <t>Soluções especificas para a sua participação, desde o projecto à realização.
De acordo com os objectivos que visa atingir com a sua presença no evento, a FIL projecta um stand à sua imagem e conforme os seus requisitos de marketing e orçamento. Indique o seu interesse nesta opção e será brevemente contactado pelos nossos serviços.</t>
  </si>
  <si>
    <t>Specific solutions for your participation, from the project to the realization.
In accordance with the objectives it aims to achieve through its presence at the event, FIL designs a stand in its image and according to its marketing and budget requirements. Please indicate your interest in this option and you will be contacted shortly by our services.</t>
  </si>
  <si>
    <t>Soluciones específicas para su participación, desde el proyecto a la realización.
De acuerdo con los objetivos que pretende alcanzar con su presencia en el evento, FIL proyecta un stand a su imagen y de acuerdo a sus requisitos de marketing y presupuesto. Indique su interés en esta opción y pronto será contactado por nuestros servicios.</t>
  </si>
  <si>
    <t>Des solutions spécifiques pour votre participation, du projet à la réalisation.
Conformément aux objectifs qu’elle souhaite atteindre par sa présence à l’événement, FIL conçoit un stand à son image, en fonction de ses impératifs marketing et budgétaires. Veuillez indiquer votre intérêt pour cette option et vous serez contacté sous peu par nos services.</t>
  </si>
  <si>
    <t>Banco alto branco CONCHA</t>
  </si>
  <si>
    <t>Stool white CONCHA</t>
  </si>
  <si>
    <t>Taburete blanco CONCHA</t>
  </si>
  <si>
    <t>Tabouret blanc CONCHA</t>
  </si>
  <si>
    <t>Projectores de Led</t>
  </si>
  <si>
    <t>Led Spotlights</t>
  </si>
  <si>
    <t>Focos de Led</t>
  </si>
  <si>
    <t>Projecteurs de Led</t>
  </si>
  <si>
    <t>Fotografia em vinil para costas do gabinete e paredes</t>
  </si>
  <si>
    <t>Vinyl photography for cabinet backs and walls</t>
  </si>
  <si>
    <t>Fotografía en vinilo para respaldo del gabinete y paredes</t>
  </si>
  <si>
    <t>Photographie de vinyle pour le dos et les murs du cabinet</t>
  </si>
  <si>
    <t>Fotografia em vinil para gabinete</t>
  </si>
  <si>
    <t>Vinyl photography for a cabinet</t>
  </si>
  <si>
    <t>Foto en vinilo para el gabinete</t>
  </si>
  <si>
    <t>Photographie de vinyle pour cabinet</t>
  </si>
  <si>
    <t>Quadro Eléctrico Monofásico com Tomada Tripla</t>
  </si>
  <si>
    <t>Monophase Electric Board with Triple Plug</t>
  </si>
  <si>
    <t>Cuadro eléctrico monofásico con Enchufe Triple</t>
  </si>
  <si>
    <t>Tableau électrique monophasé avec Triple Socket</t>
  </si>
  <si>
    <t>Fotografia em vinil para paredes laterais</t>
  </si>
  <si>
    <t>Vinyl photography for side walls</t>
  </si>
  <si>
    <t>Fotografía en vinilo para paredes laterales</t>
  </si>
  <si>
    <t>Photographie vinyle pour parois latérales</t>
  </si>
  <si>
    <t>(Não Aplicável)</t>
  </si>
  <si>
    <t>(Not Applicable)</t>
  </si>
  <si>
    <t>(No Aplicable)</t>
  </si>
  <si>
    <t>(Non Applicable)</t>
  </si>
  <si>
    <t>A água fria é fornecida pela instalação de mangueira cristal de 15 mm com torneiras de 3/8 ou ½ polegada e drenagem de líquidos/esgoto 
com tubo 40 mm
Para fornecimento de água quente é instalado um termoacumulador.
Não são permitidas derivações . Deve ser requisitado 1 ponto de água para cada equipamento.</t>
  </si>
  <si>
    <t>L'eau froide est fournie par l'installation du tuyau de cristal de 15 mm à 3/8 ou ½ robinet de pouce et de drainage de liquide/eaux 
usées avec un tube de 40 mm. 
Pour l'alimentation en eau chaude est installé un thermo-accumulateur.
Dérivations ne sont pas autorisés. Il doit être commandé un point pour chaque équipement de l'eau.</t>
  </si>
  <si>
    <t>Lienzos fijos al módulo superior con imagen en un sólo lado</t>
  </si>
  <si>
    <t>Mob.</t>
  </si>
  <si>
    <t>Inclui</t>
  </si>
  <si>
    <t>Includes</t>
  </si>
  <si>
    <t>Incluye</t>
  </si>
  <si>
    <t>Inclut</t>
  </si>
  <si>
    <t>Açores</t>
  </si>
  <si>
    <t>Madeira</t>
  </si>
  <si>
    <t>Projecto Especial FIL</t>
  </si>
  <si>
    <t>Project Special FIL</t>
  </si>
  <si>
    <t>Proyecto Especial FIL</t>
  </si>
  <si>
    <t>Projet Spécial FIL</t>
  </si>
  <si>
    <t>REQUINTE sem Torre</t>
  </si>
  <si>
    <t>REQUINTE without Tower</t>
  </si>
  <si>
    <t>REQUINTE sin Torre</t>
  </si>
  <si>
    <t>REQUINTE sans Tour</t>
  </si>
  <si>
    <t>REQUINTE com Torre</t>
  </si>
  <si>
    <t>REQUINTE with Tower</t>
  </si>
  <si>
    <t>REQUINTE con Torre</t>
  </si>
  <si>
    <t>REQUINTE avec Tour</t>
  </si>
  <si>
    <t>Parking, Tickets:</t>
  </si>
  <si>
    <t>Parking, Invitaciones:</t>
  </si>
  <si>
    <t>Parking, Billets:</t>
  </si>
  <si>
    <t>LISBOA-FEIRAS CONGRESSOS E EVENTOS-FCE / ASSOCIAÇÃO EMPRESARIAL</t>
  </si>
  <si>
    <t>Rua do Bojador, Parque das Nações   -   1998-010 Lisboa   -   PORTUGAL</t>
  </si>
  <si>
    <t>20 KW</t>
  </si>
  <si>
    <t>40 KW</t>
  </si>
  <si>
    <t>65 KW</t>
  </si>
  <si>
    <t>6 m3</t>
  </si>
  <si>
    <t>20 m3</t>
  </si>
  <si>
    <t>30 m3</t>
  </si>
  <si>
    <t>CONTAINER RUBBISH DISMANTLING</t>
  </si>
  <si>
    <t>Pág. 3</t>
  </si>
  <si>
    <t>Pág. 2</t>
  </si>
  <si>
    <r>
      <rPr>
        <b/>
        <sz val="9"/>
        <color rgb="FFFF0000"/>
        <rFont val="Rockwell Extra Bold"/>
        <family val="1"/>
      </rPr>
      <t>*</t>
    </r>
    <r>
      <rPr>
        <b/>
        <sz val="9"/>
        <color rgb="FFFF0000"/>
        <rFont val="Calibri"/>
        <family val="2"/>
      </rPr>
      <t xml:space="preserve"> </t>
    </r>
  </si>
  <si>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</si>
  <si>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</si>
  <si>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Artes</t>
  </si>
  <si>
    <t>HOSPE 1</t>
  </si>
  <si>
    <t>HOSPE 2</t>
  </si>
  <si>
    <t>Impressão Digital na Pala</t>
  </si>
  <si>
    <t>Digital Printing on Fascia</t>
  </si>
  <si>
    <t>Impresión Digital en el Frontis</t>
  </si>
  <si>
    <t>Impression Digitale sur Pala</t>
  </si>
  <si>
    <t>Impressão Digital no Balcão</t>
  </si>
  <si>
    <t>Digital Printing on the Counter</t>
  </si>
  <si>
    <t>Impresión Digital en el Mostrador</t>
  </si>
  <si>
    <t>Impression Digitale sur le Compteur</t>
  </si>
  <si>
    <t>Armazém com porta</t>
  </si>
  <si>
    <t>Storeroom with door</t>
  </si>
  <si>
    <t>Almacén con puerta</t>
  </si>
  <si>
    <t>Entrepôt avec porte</t>
  </si>
  <si>
    <t>1 x 1</t>
  </si>
  <si>
    <t>2 x 1</t>
  </si>
  <si>
    <t>2 x 2</t>
  </si>
  <si>
    <t>3 x 1</t>
  </si>
  <si>
    <t>3 x 2</t>
  </si>
  <si>
    <t>REQUINTE without Canva</t>
  </si>
  <si>
    <t>REQUINTE sin Lienzo</t>
  </si>
  <si>
    <t>REQUINTE sans Canva</t>
  </si>
  <si>
    <t>REQUINTE with Canva</t>
  </si>
  <si>
    <t>REQUINTE con Lienzo</t>
  </si>
  <si>
    <t>REQUINTE avec Canva</t>
  </si>
  <si>
    <t>(Aplicável em espaços com 4 frentes)</t>
  </si>
  <si>
    <t>(Applicable in spaces with 4 open sides)</t>
  </si>
  <si>
    <t>(Aplicable en espacios con 4 calles)</t>
  </si>
  <si>
    <t>(Applicable dans espaces avec 4 devants)</t>
  </si>
  <si>
    <t>0,98 x 2,82</t>
  </si>
  <si>
    <t>1,50 x 0,48</t>
  </si>
  <si>
    <t>Projectores LED</t>
  </si>
  <si>
    <t>Projectors LED</t>
  </si>
  <si>
    <t>Focos LED</t>
  </si>
  <si>
    <t>Projecteurs LED</t>
  </si>
  <si>
    <t>MBPS</t>
  </si>
  <si>
    <t>Mbps</t>
  </si>
  <si>
    <t>Largura de Banda Extra para Internet</t>
  </si>
  <si>
    <t>Extra Bandwidth for Internet</t>
  </si>
  <si>
    <t>Anchura de Banda Extra para Internet</t>
  </si>
  <si>
    <t>Largeur Bande Extra pour Internet</t>
  </si>
  <si>
    <t>(2,90m x 1,00m x 2,30m)</t>
  </si>
  <si>
    <t>(adicional ao cabo de rede)</t>
  </si>
  <si>
    <t>(additional to the network cable)</t>
  </si>
  <si>
    <t>(adicional al cable de red)</t>
  </si>
  <si>
    <t>(en plus du câble réseau)</t>
  </si>
  <si>
    <t>2,80 x 2,30</t>
  </si>
  <si>
    <t xml:space="preserve">Calha com 2 Projectores      </t>
  </si>
  <si>
    <t>Rail with 2 Projectors</t>
  </si>
  <si>
    <t>Carril con 2 Focos</t>
  </si>
  <si>
    <t>Creux avec 2 Projecteurs</t>
  </si>
  <si>
    <t>18 m2</t>
  </si>
  <si>
    <t>27 m2</t>
  </si>
  <si>
    <t>36 m2</t>
  </si>
  <si>
    <t>54 m2</t>
  </si>
  <si>
    <t>81 m2</t>
  </si>
  <si>
    <t>LED TV 40"</t>
  </si>
  <si>
    <t>LED TV 55"</t>
  </si>
  <si>
    <t>unité</t>
  </si>
  <si>
    <t>/ m2</t>
  </si>
  <si>
    <t>unit.</t>
  </si>
  <si>
    <t>DUBLIN</t>
  </si>
  <si>
    <t>Estrutura de alumínio para parede</t>
  </si>
  <si>
    <t>Aluminum structure for wall</t>
  </si>
  <si>
    <t>Estructura de aluminio para pared</t>
  </si>
  <si>
    <t>Structure en aluminium pour mur</t>
  </si>
  <si>
    <t>Porta com chave para acesso à zona de arrumos</t>
  </si>
  <si>
    <t>Lockable door for access to the storage area</t>
  </si>
  <si>
    <t>Puerta con cerradura para acceder al área de almacenamiento</t>
  </si>
  <si>
    <t>Porte verrouillable pour accéder à la zone de stockage</t>
  </si>
  <si>
    <t>Tomada Tripla</t>
  </si>
  <si>
    <t>Plug Three</t>
  </si>
  <si>
    <t>Enchufe Triple</t>
  </si>
  <si>
    <t>Prise Triple</t>
  </si>
  <si>
    <t xml:space="preserve">Balcão FIL B com portas e fechadura    </t>
  </si>
  <si>
    <t xml:space="preserve">Counter FIL B with doors and lock </t>
  </si>
  <si>
    <t>Mostrador FIL B con puertas y cerradura</t>
  </si>
  <si>
    <t xml:space="preserve">Compteur FIL B avec portes et verrouiller </t>
  </si>
  <si>
    <t>Grafismo parede de fundo</t>
  </si>
  <si>
    <t>Graphics bottom wall next</t>
  </si>
  <si>
    <t>Grafismo pared de fondo</t>
  </si>
  <si>
    <t>Graphics mur de fond</t>
  </si>
  <si>
    <t>Placa de identificação para mesa com imagem frente e verso</t>
  </si>
  <si>
    <t>Table nameplate with front and back image</t>
  </si>
  <si>
    <t>Placa identificación para la mesa con imagen frente y detrás</t>
  </si>
  <si>
    <t>Plaque signalétique pour table avec image recto et verso</t>
  </si>
  <si>
    <t>Grafismo em vinil para Balcão</t>
  </si>
  <si>
    <t>Graphics in vinyl for Counter</t>
  </si>
  <si>
    <t>Grafismo en vinilo para Mostrador</t>
  </si>
  <si>
    <t>Graphics en vinil pour Compteur</t>
  </si>
  <si>
    <t>Balcão FIL C com prateleira</t>
  </si>
  <si>
    <t>Counter FIL C with shelf</t>
  </si>
  <si>
    <t>Mostrador FIL C con balda</t>
  </si>
  <si>
    <t>Compteur FIL C avec étagère</t>
  </si>
  <si>
    <t>72 m2</t>
  </si>
  <si>
    <t>TORRE</t>
  </si>
  <si>
    <t>(1,40 x 0,90)</t>
  </si>
  <si>
    <t>Paredes em Paletes</t>
  </si>
  <si>
    <t>Walls with Pallets</t>
  </si>
  <si>
    <t>Paredes en Palets</t>
  </si>
  <si>
    <t>Murs en Palettes</t>
  </si>
  <si>
    <t xml:space="preserve">Balcão FIL D  </t>
  </si>
  <si>
    <t xml:space="preserve">Counter FIL D </t>
  </si>
  <si>
    <t>Mostrador FIL D</t>
  </si>
  <si>
    <t>Compteur FIL D</t>
  </si>
  <si>
    <t>Porta e Moldura</t>
  </si>
  <si>
    <t>Door and Frame</t>
  </si>
  <si>
    <t>Puerta y Marco</t>
  </si>
  <si>
    <t>Porte et Cadre</t>
  </si>
  <si>
    <t xml:space="preserve">Placa com identificação do expositor </t>
  </si>
  <si>
    <t>Plaque with exhibitor identification</t>
  </si>
  <si>
    <t>Placa con identificación de expositor</t>
  </si>
  <si>
    <t>Plaque avec identification exposant</t>
  </si>
  <si>
    <t>Sofá MALIBU  - 1 pax</t>
  </si>
  <si>
    <t>Sofa MALIBU  - 1 pax</t>
  </si>
  <si>
    <t>Sillón MALIBU  - 1 pax</t>
  </si>
  <si>
    <t>Sofa MALIBU - 1 pax</t>
  </si>
  <si>
    <t>Sofá MALIBU - 2 pax</t>
  </si>
  <si>
    <t>Sofa MALIBU - 2 pax</t>
  </si>
  <si>
    <t>Sillón MALIBU - 2 pax</t>
  </si>
  <si>
    <t>Mesa de apoio VADUZ</t>
  </si>
  <si>
    <t>Support table VADUZ</t>
  </si>
  <si>
    <t>Mesa de apoyo VADUZ</t>
  </si>
  <si>
    <t>Table de support VADUZ</t>
  </si>
  <si>
    <t>ECO VIP</t>
  </si>
  <si>
    <t>(Aplicável em espaços com 3 frentes)</t>
  </si>
  <si>
    <t>(Applicable in spaces with 3 open sides)</t>
  </si>
  <si>
    <t>(Aplicable en espacios con 3 calles)</t>
  </si>
  <si>
    <t>(Applicable dans espaces avec 3 devants)</t>
  </si>
  <si>
    <t>NORMAL</t>
  </si>
  <si>
    <t>BTL</t>
  </si>
  <si>
    <t>(Aplicável em espaços com  1 / 2 / 3 frentes)</t>
  </si>
  <si>
    <t>(Applicable in spaces with  1 / 2 / 3 open sides)</t>
  </si>
  <si>
    <t>(Aplicable en espacios con  1 / 2 / 3 calles)</t>
  </si>
  <si>
    <t>(Applicable dans espaces avec  1 / 2 / 3 devants)</t>
  </si>
  <si>
    <t>(Aplicável em espaços com  2 / 3 frentes)</t>
  </si>
  <si>
    <t>(Applicable in spaces with  2 / 3 open sides)</t>
  </si>
  <si>
    <t>(Aplicable en espacios con  2 / 3 calles)</t>
  </si>
  <si>
    <t>(Applicable dans espaces avec  2 / 3 devants)</t>
  </si>
  <si>
    <t>CONTENTOR PARA LIXO DESMONTAGEM</t>
  </si>
  <si>
    <t>CONTENEDOR PARA BASURA DESMONTAJE</t>
  </si>
  <si>
    <t>CONTENEUR POUR DÉCHET DÉMONTAGE</t>
  </si>
  <si>
    <t>REMOÇÃO DE LIXOS POR M3     (Avulso)</t>
  </si>
  <si>
    <t>REMOVAL OF WASTE PER M3     (Single)</t>
  </si>
  <si>
    <t>RETIRADA DE BASURA POR M3    (suelto)</t>
  </si>
  <si>
    <t>ENLEVEMENT DES DECHETS PAR M3     (Simple)</t>
  </si>
  <si>
    <t>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t>
  </si>
  <si>
    <t>We declare that we want to participate in the above event, under the conditions of this request and the FIL General Regulations, of which we are aware and declare that we accept. We undertake to SEND THE PROOF OF INITIAL PAYMENT referring to the estimated value of our participation and to liquidate the remainder according to the Rules applicable to the Event.</t>
  </si>
  <si>
    <t>Declaramos querer participar en el certamen antes mencionado, en las condiciones de la presente Solicitud y del Reglamento General de FIL, del cual tenemos conocimiento y declaramos aceptar.  Nos comprometemos a ENVIAR EL COMPROBANTE DEL PAGO INICIAL referente al valor estimado para nuestra participación y liquidar el resto de acuerdo con las Normas aplicables al Certamen.</t>
  </si>
  <si>
    <t>Nous déclarons vouloir participer à l'événement ci-dessus, dans les conditions de la présente demande et Règlement Général de la FIL, dont nous avons connaissance et déclarons accepter. Nous nous engageons à ENVOYER LA PREUVE DE PAIEMENT INITIAL faisant référence à la valeur estimée de notre participation et de liquider le reste selon les Règles applicables au Événement.</t>
  </si>
  <si>
    <t>(3,00m</t>
  </si>
  <si>
    <t xml:space="preserve">Energía   -  Permanente 24 Horas </t>
  </si>
  <si>
    <t xml:space="preserve">Énergie   -  Permanent 24 Heures </t>
  </si>
  <si>
    <t>Energy   -  Permanent 24 Hours</t>
  </si>
  <si>
    <t>Puxada Eléctrica    -    Suplementar</t>
  </si>
  <si>
    <t>Electric Connection    -    Additional</t>
  </si>
  <si>
    <t>Cable Electrico    -    Adicional</t>
  </si>
  <si>
    <t>Câble Électrique    -    Supplémentaire</t>
  </si>
  <si>
    <t>• Limpeza antes da abertura do Certame, após o término das montagens no pavilhão (Remoção dos plásticos protectores da alcatifa 
   do stand; Aspiração de alcatifa; Lavagem de pavimentos; Limpeza de mobiliário).</t>
  </si>
  <si>
    <t>• Cleaning executed before the opening of the Event and after the ending of assembly in the pavilion. (Remove plastics from the carpet 
   booths; Vacuuming of carpets; Washing of floors; Cleaning of furniture).</t>
  </si>
  <si>
    <r>
      <rPr>
        <sz val="8"/>
        <color rgb="FF1F497D"/>
        <rFont val="Arial"/>
        <family val="2"/>
      </rPr>
      <t>•</t>
    </r>
    <r>
      <rPr>
        <sz val="8"/>
        <color rgb="FF1F497D"/>
        <rFont val="Calibri"/>
        <family val="2"/>
      </rPr>
      <t xml:space="preserve"> Limpieza ejecutada antes de la apertura del Certamen, después de finalizar el  montaje en el pabellón. (Retirada del  plástico 
   protector de la moqueta del stand;  Aspiración de  moqueta; Lavado de pavimentos; Limpieza de mobiliario).</t>
    </r>
  </si>
  <si>
    <t>• Nettoyage avant l'ouverture de l'exposition, après la fin de l'assemblage dans le pavillon (Suppression de la protection en plastique 
   de la moquette du stand, vide de moquette, planchers de lavage, le nettoyage des meubles).</t>
  </si>
  <si>
    <t>• Limpeza diária até uma hora antes da abertura do Certame (Aspiração de alcatifas e Limpeza de pó).</t>
  </si>
  <si>
    <t>• Daily cleaning up to an hour before the opening of the Exhibition: Vacuuming of carpets and Dusting.</t>
  </si>
  <si>
    <r>
      <rPr>
        <sz val="8"/>
        <color rgb="FF1F497D"/>
        <rFont val="Arial"/>
        <family val="2"/>
      </rPr>
      <t>•</t>
    </r>
    <r>
      <rPr>
        <sz val="8"/>
        <color rgb="FF1F497D"/>
        <rFont val="Calibri"/>
        <family val="2"/>
      </rPr>
      <t xml:space="preserve"> Limpieza diaria hasta una hora antes de la apertura del Certamen (Aspiración de moquetas y Limpieza del polvo).  </t>
    </r>
  </si>
  <si>
    <t xml:space="preserve"> • Nettoyage quotidien jusqu'à une heure avant l'ouverture de l'expositon (vide moquette et nettoyage par le vide).</t>
  </si>
  <si>
    <t xml:space="preserve">• Piquete rotativo 2 vezes por dia durante a realização para a recolha de lixos; </t>
  </si>
  <si>
    <t xml:space="preserve">• Rotating crew twice a day during the Exhibition collecting trash; </t>
  </si>
  <si>
    <t xml:space="preserve">• Equipo rotativo 2 veces al día, durante la realización para la recogida de basuras; </t>
  </si>
  <si>
    <t xml:space="preserve">• Piquetage rotatif 2 fois par jour pendant l'exécution de la collecte des déchets; </t>
  </si>
  <si>
    <t xml:space="preserve">• Cleaning of garbage bins; </t>
  </si>
  <si>
    <t xml:space="preserve">• Limpieza de las papeleras; </t>
  </si>
  <si>
    <t>• Limpeza dos cestos de lixo;</t>
  </si>
  <si>
    <t>• Nettoyage des poubelles, nettoyage;</t>
  </si>
  <si>
    <t>• Pequenas limpezas irregulares em zonas com derrames e a pedido dos expositores, com excepção de aspirações.</t>
  </si>
  <si>
    <t xml:space="preserve">• Small irregular cleaning jobs in areas with spills and at the Exhibitors' request, with the exception of vacuuming. </t>
  </si>
  <si>
    <t>• Pequeñas limpiezas irregulares en zonas con derrames y a petición de los Expositores, excepto aspiraciones.</t>
  </si>
  <si>
    <t>• Petit irrégulière dans les zones avec des coups et à la demande des exposants, sauf aspirations.</t>
  </si>
  <si>
    <t>• Limpeza de objectos ou produtos expostos; (sujeita a Orçamento)</t>
  </si>
  <si>
    <t>• Cleaning of objects or products on display; (subject to budget)</t>
  </si>
  <si>
    <t>• Limpieza de los objetos o productos expuestos; (sujeta a Presupuesto)</t>
  </si>
  <si>
    <t>• Nettoyage d'articles ou de produits exposés; (soumis à budget)</t>
  </si>
  <si>
    <t xml:space="preserve">• Remoção de materiais e utensílios sobrantes de montagens; </t>
  </si>
  <si>
    <t xml:space="preserve">• Removal of materials and items left over from the assembly period; </t>
  </si>
  <si>
    <t xml:space="preserve">• Retirada de materiales y utensilios sobrantes de montajes; </t>
  </si>
  <si>
    <t xml:space="preserve">• Suppression des excédents de matériaux et ustensiles supports; </t>
  </si>
  <si>
    <t xml:space="preserve">• Lavagem de alcatifas e remoção de nódoas; . </t>
  </si>
  <si>
    <t xml:space="preserve">• Washing of mats and removal of stains; </t>
  </si>
  <si>
    <t xml:space="preserve">• Lavado de moquetas y retirada de manchas; </t>
  </si>
  <si>
    <t xml:space="preserve">• Moquette à laver et enlever les taches; </t>
  </si>
  <si>
    <t xml:space="preserve">• Lavagem com meios mecânicos de pavimentos; </t>
  </si>
  <si>
    <t xml:space="preserve">• Mechanical floor washing; </t>
  </si>
  <si>
    <t xml:space="preserve">• Lavado con medios mecánicos de pavimentos; </t>
  </si>
  <si>
    <t xml:space="preserve">• Lavage des sols avec des moyens mécaniques; </t>
  </si>
  <si>
    <t xml:space="preserve">• Tratamento de pavimentos, tais como: Selagens, enceramentos e vitrificações de pavimentos em mármore, lustragens, etc;. </t>
  </si>
  <si>
    <t>• Floor treatment, such as: sealers, floor wax and vitrification of marble floors, floor polishers, etc.;</t>
  </si>
  <si>
    <t xml:space="preserve">• Tratamiento de pavimentos, tales como: Sellado, encerado y vitrificaciones de pavimentos en mármol, pulimentos, etc.; </t>
  </si>
  <si>
    <t xml:space="preserve">• Traitement du sol tels que: étanchéité, épilation à la cire et vitrages planchers de marbre, lustragens, etc;. </t>
  </si>
  <si>
    <t xml:space="preserve">• Remoção de colas em mobiliário e painéis verticais. </t>
  </si>
  <si>
    <t xml:space="preserve">• Removal of glue from furniture and vertical panels. </t>
  </si>
  <si>
    <t>• Retirada de pegamento en mobiliario y paneles verticales.</t>
  </si>
  <si>
    <t xml:space="preserve">• L'enlèvement de colles à meubles et des panneaux verticaux. </t>
  </si>
  <si>
    <t>Segurança durante o dia - 1 dia de realização da Feira. Segurança durante a Noite - Da hora de encerramento até à hora de realização.</t>
  </si>
  <si>
    <t>Day-time security - 1 day during the opening times of the Fair. Night-time security - From the exhibition's closing time until it opens again.</t>
  </si>
  <si>
    <t>Seguridad durante el día - 1 día de realización de la Feria. Seguridad durante la Noche - Desde la hora de cierre hasta la hora de apertura.</t>
  </si>
  <si>
    <t>Sécurité pendant le jour - 1 jour de réalisation de la Foire. Sécurité pendant la Nuit - Depuis l'heure de la fermeture à l'heure d'ouverture.</t>
  </si>
  <si>
    <t xml:space="preserve">Se pretende efectuar um briefing antes do início do certame, deve mencionar essa necessidade no campo das observações, nesse caso, os seguranças apresentar-se-ão no primeiro dia de feira, ½ hora antes do início da realização. </t>
  </si>
  <si>
    <t>If the exhibitor intends to do a briefing before the start of the event, this must be mentioned in the observations section of the form. In this case, the security guards will report on the first day of the fair, ½ hour before the start.</t>
  </si>
  <si>
    <t>Si vous voulez faire un briefing avant le début de l'événement, doit mentionner ce besoin dans le domaine des observations, dans ce cas, les agents de sécurité seront présents le premier jour de la foire, une demi-heure avant le début de la mise en œuvre.</t>
  </si>
  <si>
    <t>Si pretende realizar un briefing antes del inicio del evento, deberá mencionar esta necesidad en el campo de observaciones, en cuyo caso, los vigilantes se presentarán el primer día de feria, ½ hora antes del inicio del evento.</t>
  </si>
  <si>
    <t>CUBO</t>
  </si>
  <si>
    <t>INTERCASA</t>
  </si>
  <si>
    <t>A redução ou a eliminação de elementos que constituam a estrutura do stand, não implicam uma redução de custos.</t>
  </si>
  <si>
    <t>The reduction or the elimination of elements which make up the stand structure of the do not imply a reduction in costs.</t>
  </si>
  <si>
    <t>La reducción o eliminación de elementos que constituyan la estructura del stand, no implica una reducción de costes.</t>
  </si>
  <si>
    <t>Todo o material utilizado no stand, é alugado, pelo que qualquer dano provocado, o expositor terá que assumir os custos.</t>
  </si>
  <si>
    <t>All material used in the stand is rented, so any damage the exhibitor will have to bear the costs.</t>
  </si>
  <si>
    <t>Todo el material utilizado en el stand, es alquilado, por lo que cualquier daño provocado el expositor tendrá que asumir los costes.</t>
  </si>
  <si>
    <t>Tout le matériel utilisé dans le stand est loué, donc tout dommage causé, le exposant devra supporter les coûts.</t>
  </si>
  <si>
    <t>3m x 2m</t>
  </si>
  <si>
    <t>1m x 1m</t>
  </si>
  <si>
    <t>2m x 1m</t>
  </si>
  <si>
    <t>2m x 2m</t>
  </si>
  <si>
    <t>3m x 1m</t>
  </si>
  <si>
    <t>NIPC:  503 657 891</t>
  </si>
  <si>
    <t>O Expositor tem direito a</t>
  </si>
  <si>
    <t>All Exhibitors are entitled to</t>
  </si>
  <si>
    <t>El Expositor tiene derecho a</t>
  </si>
  <si>
    <t>L'Exposant a droit à</t>
  </si>
  <si>
    <t>La réduction ou l'élimination des éléments qui constituent la structure du stand, n'impliquent pas une réduction des coûts.</t>
  </si>
  <si>
    <t>Atenção!</t>
  </si>
  <si>
    <t>Attention!</t>
  </si>
  <si>
    <t>¡Atención!</t>
  </si>
  <si>
    <t>Parque, Bilhetes:</t>
  </si>
  <si>
    <t>(6m x 3m)</t>
  </si>
  <si>
    <t xml:space="preserve">    (9m x 3m)</t>
  </si>
  <si>
    <t>(6m x 6m)</t>
  </si>
  <si>
    <t>(9m x 6m)</t>
  </si>
  <si>
    <t>(9m x 9m)</t>
  </si>
  <si>
    <t>(6m x 12m)</t>
  </si>
  <si>
    <t>(6m x 9m)</t>
  </si>
  <si>
    <t>(12m x 6m)</t>
  </si>
  <si>
    <t>Restante Pagamento até:</t>
  </si>
  <si>
    <t>Remaining Payment until:</t>
  </si>
  <si>
    <t>Restante Pago hasta:</t>
  </si>
  <si>
    <t>Restant Paiement jusqu'au:</t>
  </si>
  <si>
    <t xml:space="preserve">PORTUGAL </t>
  </si>
  <si>
    <t>PORTUGAL</t>
  </si>
  <si>
    <t>Às Empresas de Montagem de Stands, a FIL cobra uma taxa de 2,00€ por cada m2</t>
  </si>
  <si>
    <t>Business Mounting Stands, FIL charges a fee of 2,00€ per m2</t>
  </si>
  <si>
    <t>A las Empresas de Montaje de Stands, FIL cobra un canon de 2,00€ por cada m2</t>
  </si>
  <si>
    <t>Aux entreprises de montage de stand, FIL facture des frais de 2,00 € pour chaque m2</t>
  </si>
  <si>
    <t>Tomadas</t>
  </si>
  <si>
    <t>Se requisitar Stand à FIL e não preencher este campo, será colocado no Stand o nome da inscrição (letra Arial Bold)</t>
  </si>
  <si>
    <t>If request Stand to FIL and do not fill this field, we will place the name of the registration on the Stand (Arial Bold font)</t>
  </si>
  <si>
    <t>Si solicita Stand de FIL  y no rellena este campo, colocaremos en el Stand el nombre de la inscripción (letra Arial Bold)</t>
  </si>
  <si>
    <t>Si vous demandez Stand FIL et pas remplir ce champ, sera mis sur le Stand le nom de l'inscription (lettre Arial Bold)</t>
  </si>
  <si>
    <t>Puxadas</t>
  </si>
  <si>
    <t>A FIL envia os bilhetes de forma digital, pelo que irá receber um e-mail com um link de acesso à plataforma.
Para enviar os seus bilhetes basta inserir o e-mail dos seus convidados e seleccionar o número que pretende atribuir. 
Pode visualizar o estado dos bilhetes emitidos e aceites em tempo real.
Os seus convidados ficam automaticamente credenciados para a feira e podem apresentar o bilhete num dispositivo móvel, não sendo necessária a impressão
Após a data limite, ÚLTIMO DIA DE MONTAGEM até às 17H00, não será possível requisitar bilhetes pelo que na eventualidade do expositor necessitar de bilhetes terá de adquirir ao preço de bilheteira.  
Na eventualidade da FIL disponibilizar o Serviço de Impressão dos convites, os mesmos terão um preço unitário de 0,25 € + IVA.</t>
  </si>
  <si>
    <t>FIL envía los bilhetes en formato digital, por lo que recibirá un e-mail con un enlace de acceso a la plataforma.
Para enviar sus invitaciones, simplemente introduzca el e-mail de sus invitados y seleccione el número que desea asignar.
Puede ver el estado de las invitaciones emitidas y aceptadas en tiempo real.
Sus invitados quedan automaticamente acreditados para la feria y pueden pesentar el billete en um dispositivo móvil, no siendo necesario imprimir.
Después de la fecha límite, ÚLTIMO DÍA DE MONTAJE hasta las 17H00, no será posible solicitar billetes por lo que en caso de que el expositor necesite billetes tendrá que adquirirlos al precio de taquilla.
Caso FIL ponga a disposición el Servicio de Impresión de las invitaciones, éstas tendrán un precio unitario de 0,25 € + IVA.</t>
  </si>
  <si>
    <t>FIL envoie les tickets sous forme numérique, ainsi vous recevrez un email avec un lien d'accès à la plateforme.
Pour envoyer vos invitations, il suffit d'entrer l'adresse e-mail de vos invités et de sélectionner le numéro que vous souhaitez attribuer.
Vous pouvez voir le statut des invitations émis et acceptés en temps réel.
Vos invités sont automatiquement accrédités pour le salon et peuvent présenter le billet sur un appareil mobile, sans qu'il soit nécessaire de l'imprimer.
Après la date limite, DERNIER JOUR DE MONTAGE jusqu'à 17H00, il ne sera pas possible de demander de billets, si l'exposant a besoin de billets, vous devrez les acheter au  prix de la billetterie.
Dans le cas où FIL mettrait à disposition le Service d'impression des invitations, celles-ci auront un prix unitaire de 0,25 € + TVA.</t>
  </si>
  <si>
    <t>FIL sends the tickets in digital format, so you will receive an e-mail with an access link to the platform.
To send your invitations, simply enter the e-mail of your guests and select the number you wish to assign.
You can see the status of invitations issued and accepted in real time.
Your guests are automatically accredited for the fair and can present the ticket on a mobile device, not being necessary to print.
After the deadline, LAST DAY OF ASSEMBLY until 17H00, it will not be possible to request tickets so in case the exhibitor needs tickets you will have to purchase at the ticket price.
In the event that FIL makes available the Print Service of the invitations, they will have a unit price of 0,25 € + VAT.</t>
  </si>
  <si>
    <t>Formulário de envio de documento comprovativo de pagamento:</t>
  </si>
  <si>
    <t>Payment proof document submission form:</t>
  </si>
  <si>
    <t>Formulario de envío de comprobante de pago:</t>
  </si>
  <si>
    <t>Formulaire de soumission de justificatif de paiement :</t>
  </si>
  <si>
    <t>https://www.fil.pt/documentos-envio/</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</si>
  <si>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</si>
  <si>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</si>
  <si>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</si>
  <si>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</si>
  <si>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Atenção! Não preencheu Campo Obrigatório</t>
  </si>
  <si>
    <t>Attention! Did not fill in Required Field</t>
  </si>
  <si>
    <t>¡Atención! No rellenó Campo Obligatorio</t>
  </si>
  <si>
    <t>Attention! Ne pas rempli Champ Obligatoire</t>
  </si>
  <si>
    <t>Atenção! Não requisitou m2/Stand. Este campo só é válido para Stands da FIL</t>
  </si>
  <si>
    <t>Attention! Not requested sqm/Stand. This field is only valid for the FIL Stands</t>
  </si>
  <si>
    <t>¡Atención! No solicitó m2/Stand. Este campo sólo es válido para los Stands de FIL</t>
  </si>
  <si>
    <t>Attention! N'avez pas demandée m2/Stand. Ce champ est uniquement valable pour Stands de FIL</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</si>
  <si>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</si>
  <si>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</si>
  <si>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lequel:(s'applique aux Entreprises Portugaises)  </t>
  </si>
  <si>
    <t xml:space="preserve">Se for uma REGIÃO AUTÓNOMA, indique qual: (Aplica-se apenas às Empresas Portuguesas)   </t>
  </si>
  <si>
    <t>REQUINTE com Tela</t>
  </si>
  <si>
    <t>REQUINTE sem Tela</t>
  </si>
  <si>
    <t>Dedica</t>
  </si>
  <si>
    <t>LCD</t>
  </si>
  <si>
    <t>Armazem</t>
  </si>
  <si>
    <t>invitaciones gratuitas, válidas para un solo acceso.</t>
  </si>
  <si>
    <t>bilhetes gratuitos válidos para um único acesso, e só pode adquirir mais de acordo com a seguinte tabela:</t>
  </si>
  <si>
    <t>free tickets valid for a single access, you can only buy more according to the following table:</t>
  </si>
  <si>
    <t>invitaciones gratuitas válidas para un único acceso, solo podrá comprar más según la siguiente tabla:</t>
  </si>
  <si>
    <t>billets gratuites valables pour un accès unique, vous ne pouvez acheter plus selon le tableau suivant:</t>
  </si>
  <si>
    <t>9 m2 a 54 m2  -  10 Bilhetes</t>
  </si>
  <si>
    <t>9 m2 to 54 m2 - 10 Tickets</t>
  </si>
  <si>
    <t>9 m2 a 54 m2  -  10 Billetes</t>
  </si>
  <si>
    <t>9 m2 à 54 m2 - 10 Billets</t>
  </si>
  <si>
    <t>63 m2 a 81 m2  -  30 Bilhetes</t>
  </si>
  <si>
    <t>63 m2 to 81 m2 - 30 Tickets</t>
  </si>
  <si>
    <t>63 m2 a 81 m2  - 30 Billetes</t>
  </si>
  <si>
    <t>63 m2 à 81 m2 - 30 Billets</t>
  </si>
  <si>
    <t>&gt;= 90 m2  -  40 Bilhetes</t>
  </si>
  <si>
    <t>&gt;= 90 m2  -  40 m2 - 40 Tickets</t>
  </si>
  <si>
    <t>&gt;= 90 m2  -  40 m2  -  40 Billetes</t>
  </si>
  <si>
    <t>&gt;= 90 m2  -  40 m2 - 40 Billets</t>
  </si>
  <si>
    <t>Ø 0,80 x 0,70</t>
  </si>
  <si>
    <t>(1,50m x 0,48m)</t>
  </si>
  <si>
    <t>(1,00m x 1,00m)</t>
  </si>
  <si>
    <t>(6,00m x 1,00m x 3,00m)</t>
  </si>
  <si>
    <t>(1,40m x 0,90m)</t>
  </si>
  <si>
    <t>(6,03m x 3,00m)</t>
  </si>
  <si>
    <t>(9,03m x 3,00m)</t>
  </si>
  <si>
    <t>Caixa de Luz</t>
  </si>
  <si>
    <t>Light Case</t>
  </si>
  <si>
    <t>Caja de Luz</t>
  </si>
  <si>
    <t>/ unid.</t>
  </si>
  <si>
    <t>/ unit</t>
  </si>
  <si>
    <t>/ unité</t>
  </si>
  <si>
    <t xml:space="preserve">Balcão FIL B  </t>
  </si>
  <si>
    <t>Counter FIL B</t>
  </si>
  <si>
    <t>Mostrador FIL B</t>
  </si>
  <si>
    <t>Compteur FIL B</t>
  </si>
  <si>
    <t>Coffret Lumineux</t>
  </si>
  <si>
    <t>Impressão na Parede</t>
  </si>
  <si>
    <t>Printing to the Wall</t>
  </si>
  <si>
    <t>Impresión en la Pared</t>
  </si>
  <si>
    <t>Impression sur le Mur</t>
  </si>
  <si>
    <t>Impressão Digital no Balcão FIL A</t>
  </si>
  <si>
    <t>Digital Printing on the Counter FIL A</t>
  </si>
  <si>
    <t>Impresión Digital en el Mostrador FIL A</t>
  </si>
  <si>
    <t>Impression Digitale sur le Compteur FIL A</t>
  </si>
  <si>
    <t>Impressão Digital no Balcão FIL B</t>
  </si>
  <si>
    <t>Digital Printing on the Counter FIL B</t>
  </si>
  <si>
    <t>Impresión Digital en el Mostrador FIL B</t>
  </si>
  <si>
    <t>Impression Digitale sur le Compteur FIL B</t>
  </si>
  <si>
    <t>Impressão Digital na Placa</t>
  </si>
  <si>
    <t>Digital Printing on Plaque</t>
  </si>
  <si>
    <t>Impresión Digital en la Placa</t>
  </si>
  <si>
    <t>Impression Digitale sur Plaque</t>
  </si>
  <si>
    <t>Impressão Digital no Balcão FIL D</t>
  </si>
  <si>
    <t>Digital Printing on the Counter FIL D</t>
  </si>
  <si>
    <t>Impresión Digital en el Mostrador FIL D</t>
  </si>
  <si>
    <t>Impression Digitale sur le Compteur FIL D</t>
  </si>
  <si>
    <t>(partilhado)</t>
  </si>
  <si>
    <t>(shared)</t>
  </si>
  <si>
    <t>(compartido)</t>
  </si>
  <si>
    <t>(partagé)</t>
  </si>
  <si>
    <t>Tela backlight com Imagem</t>
  </si>
  <si>
    <t>Backlight Screen with Image</t>
  </si>
  <si>
    <t>Pantalla retroiluminada con imagen</t>
  </si>
  <si>
    <t>Écran rétroéclairé avec image</t>
  </si>
  <si>
    <t>(Largura x Altura)</t>
  </si>
  <si>
    <t>(Width x Height)</t>
  </si>
  <si>
    <t>(Ancho x Altura)</t>
  </si>
  <si>
    <t>(Largeur x Hauteur)</t>
  </si>
  <si>
    <t>CAIXA DE LUZ   (2/2)</t>
  </si>
  <si>
    <t>LIGHT CASE   (2/2)</t>
  </si>
  <si>
    <t>CAJA DE LUZ   (2/2)</t>
  </si>
  <si>
    <t>COFFRET LUMINEUX   (2/2)</t>
  </si>
  <si>
    <t>Obrigatório enviar projecto do Stand para aprovação da FIL (Ler NORMAS DE PARTICIPAÇÃO) até</t>
  </si>
  <si>
    <t>Required to submit project Stand for approval to the FIL (Read PARTICIPATION RULES) until</t>
  </si>
  <si>
    <t>Obligatório enviar proyecto de Stand para aprobación de FIL (Leer NORMAS DE PARTICIPACIÓN) hasta el</t>
  </si>
  <si>
    <t>Obligatoire envoyer projet du Stand pour approbation de FIL (Lire NORMES DE PARTICIPATION) jusqu'à</t>
  </si>
  <si>
    <t>TV's</t>
  </si>
  <si>
    <t>1º dia de Feira</t>
  </si>
  <si>
    <t>Desconto</t>
  </si>
  <si>
    <t>Entrega de Stand</t>
  </si>
  <si>
    <t>Último dia de Desmontagem</t>
  </si>
  <si>
    <t>Livre-Trânsito</t>
  </si>
  <si>
    <t>Nº Bilhetes  +  Preço</t>
  </si>
  <si>
    <t>20 KW  (32A)</t>
  </si>
  <si>
    <t>40 KW  (63A)</t>
  </si>
  <si>
    <t>65 KW  (125A)</t>
  </si>
  <si>
    <t>Monofásico 10A (2 KW)</t>
  </si>
  <si>
    <t>Monophase 10A (2 KW)</t>
  </si>
  <si>
    <t>Monophasé  10A (2 KW)</t>
  </si>
  <si>
    <t>Energy Consumption</t>
  </si>
  <si>
    <t>Consumo de Energia</t>
  </si>
  <si>
    <t>Consumo de Energía</t>
  </si>
  <si>
    <t>Consommation d’Énergie</t>
  </si>
  <si>
    <t>(inerente à Puxada Eléctrica suplementar)</t>
  </si>
  <si>
    <t>(inherent to assitional Electric Connetion)</t>
  </si>
  <si>
    <t>(inherente al Cable Eléctrico adicional)</t>
  </si>
  <si>
    <t>(inhérent au Câble Électrique supplémentaire)</t>
  </si>
  <si>
    <t>A instalação de um quadro eléctrico é obrigatória. Se pretender poderá requisitá-lo à FIL. A potência eléctrica a instalar, depende das necessidades dos equipamentos eléctricos que forem colocados no stand. Todos os quadros eléctricos alugados à FIL possuem uma tomada tripla 220V, deverá também pedir a puxada correspondente. 
Nota: Todos os Stands fornecidos pela FIL, incluem quadro eléctrico.</t>
  </si>
  <si>
    <t>Installing a cabinet is mandatory. If you want you can order it at FIL. 
The electrical power to install, depends on the needs of electrical equipment that are placed on the stand. 
All electrical cabinets leased to the FIL have a 220V triple outlet should also  ask pulled  correspondent.  
Note: All Stands provided by FIL, include electrical panel.</t>
  </si>
  <si>
    <t>La instalación de un cuadro eléctrico es obligatoria. Si quiere, puede solicitarlo a la FIL. La potencia eléctrica a instalar depende de las necesidades de los equipamientos eléctricos que se coloquen en el stand. Todos los cuadros eléctricos alquilados a la FIL tienen una toma triple de 220V, deberá también pedir la extensión correspondiente. 
Nota: Todos los Stands suministrados por FIL, incluyen cuadro eléctrico.</t>
  </si>
  <si>
    <t xml:space="preserve">Installation d'un tableau électrique est nécessaire. Si vous voulez, vous pouvez le commander à FIL. La puissance électrique doit être installé dépend des besoins d'équipements électriques placés sur le support. Tous les tableaux électriques loué la FIL ont une prise 220V triple, devrait également demander le correspondant tiré. 
Remarque: Tous les stands fournis par FIL, comprennent le tableau électrique. </t>
  </si>
  <si>
    <t>Aérea Monofásica</t>
  </si>
  <si>
    <t>Aerial Single Phase</t>
  </si>
  <si>
    <t>Aérien Monophasée</t>
  </si>
  <si>
    <t>Quadro Eléctrico</t>
  </si>
  <si>
    <t>Electrical Switchboard</t>
  </si>
  <si>
    <t>Cuadro Eléctrico</t>
  </si>
  <si>
    <t>Tableau Électrique</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</si>
  <si>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</si>
  <si>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</si>
  <si>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</si>
  <si>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</si>
  <si>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t>ARTES FINAIS</t>
  </si>
  <si>
    <t>FINAL ARTS</t>
  </si>
  <si>
    <t>ARTES FINALES</t>
  </si>
  <si>
    <t>ARTS FINALES</t>
  </si>
  <si>
    <t xml:space="preserve">As imagens devem ser enviadas até   </t>
  </si>
  <si>
    <t xml:space="preserve">The images must be sent until   </t>
  </si>
  <si>
    <t xml:space="preserve">Las imágenes deben ser enviadas hasta el   </t>
  </si>
  <si>
    <t xml:space="preserve">Les images doivent être envoyées jusqu'au   </t>
  </si>
  <si>
    <t>Nome da Empresa Expositora:</t>
  </si>
  <si>
    <t>Company Name Exhibitor:</t>
  </si>
  <si>
    <t>Nombre de Empresa Expositora:</t>
  </si>
  <si>
    <t>Nom de l'Entreprise Exposant:</t>
  </si>
  <si>
    <t>Inscrição + 1º Pagamento</t>
  </si>
  <si>
    <t>Serviços FIL:</t>
  </si>
  <si>
    <t>FIL Services:</t>
  </si>
  <si>
    <t>Servicios FIL:</t>
  </si>
  <si>
    <t>Services FIL:</t>
  </si>
  <si>
    <t>Raccordement lave-vaisselle d'Exposant</t>
  </si>
  <si>
    <t>T: 00-351-21-892 13 93</t>
  </si>
  <si>
    <t>Fax: 00-351-21-892 17 54</t>
  </si>
  <si>
    <t>servifil@ccl.fil.pt</t>
  </si>
  <si>
    <t>TV's    (incluí suporte regulável em altura)</t>
  </si>
  <si>
    <t>TV's    (includes height adjustable stand)</t>
  </si>
  <si>
    <t>TV's    (incluye soporte ajustable en altura)</t>
  </si>
  <si>
    <t>TV's    (comprend support réglable en hauteur)</t>
  </si>
  <si>
    <t>Ler+</t>
  </si>
  <si>
    <t>Read+</t>
  </si>
  <si>
    <t>Leer+</t>
  </si>
  <si>
    <t>Lire+</t>
  </si>
  <si>
    <t>Impressão para parte inferior da Torre</t>
  </si>
  <si>
    <t>Printing for lower part of Tower</t>
  </si>
  <si>
    <t>Impresión para la parte inferior de la Torre</t>
  </si>
  <si>
    <t xml:space="preserve">Impression pour partie inférieure de la Tour </t>
  </si>
  <si>
    <t>Impressão Digital no Balcão FIL C</t>
  </si>
  <si>
    <t>Digital Printing on the Counter FIL C</t>
  </si>
  <si>
    <t>Impresión Digital en el Mostrador FIL C</t>
  </si>
  <si>
    <t>Impression Digitale sur le Compteur FIL C</t>
  </si>
  <si>
    <t>IVA (ler Normas)</t>
  </si>
  <si>
    <t>VAT (read Rules)</t>
  </si>
  <si>
    <t>IVA (leer Normas)</t>
  </si>
  <si>
    <t>TVA (lire Règles)</t>
  </si>
  <si>
    <t>CITIES/SEGUREX</t>
  </si>
  <si>
    <t>FUTURÁLIA</t>
  </si>
  <si>
    <t>Régua de Projectores</t>
  </si>
  <si>
    <t>Ruler of Projectors</t>
  </si>
  <si>
    <t>Listón de Focos</t>
  </si>
  <si>
    <t>Règle de Projecteurs</t>
  </si>
  <si>
    <t>LÁGRIMA</t>
  </si>
  <si>
    <t>Perfil em alumínio acetinado</t>
  </si>
  <si>
    <t>Profile in satin aluminum</t>
  </si>
  <si>
    <t>Perfil de alumínio satinado</t>
  </si>
  <si>
    <t>Profilé d'aluminium satiné</t>
  </si>
  <si>
    <t>Imagens para parte superior da torre</t>
  </si>
  <si>
    <t>Images for the top of the tower</t>
  </si>
  <si>
    <t>Imágenes para la parte superior de la torre</t>
  </si>
  <si>
    <t>Images pour le sommet de la tour</t>
  </si>
  <si>
    <t>ESTRUTURA DE STAND FIL?</t>
  </si>
  <si>
    <t>STRUCTURE STAND FIL?</t>
  </si>
  <si>
    <t>¿ESTRUCTURA STAND FIL?</t>
  </si>
  <si>
    <t>STRUCTURE DE STAND FIL?</t>
  </si>
  <si>
    <t>REQUINTE</t>
  </si>
  <si>
    <t>0,60 x 10,50</t>
  </si>
  <si>
    <t>(Adicional para Stands FIL)</t>
  </si>
  <si>
    <t>(Additional for FIL Stands)</t>
  </si>
  <si>
    <t>(Supplémentaire pour Stands FIL)</t>
  </si>
  <si>
    <t>TIPO 1, 2 , 3</t>
  </si>
  <si>
    <t>Lettering - nome a figurar no Stand</t>
  </si>
  <si>
    <t>Lettering - name to be displayed on the Stand</t>
  </si>
  <si>
    <t>Rotulación - nombre que aparecerá en el Stand</t>
  </si>
  <si>
    <t>Lettrage - nom à afficher sur le Stand</t>
  </si>
  <si>
    <t>18 / 36 / 72 m2</t>
  </si>
  <si>
    <t>27 / 54 m2</t>
  </si>
  <si>
    <t>O parque de estacionamento situado nas instalações da FIL encontra-se concessionado à Placegar – Gestão de Estacionamentos.
A FIL em articulação com este concessionário, mantém a venda de cartões de parque nas feiras, válidos para o período de montagem, realização e desmontagem na totalidade dos horários definidos para cada um destes períodos. 
O parque de estacionamento funciona 24 horas por dia.
O Expositor poderá ainda adquirir nas máquinas de pagamento do parque de estacionamento, o bilhete diário pelo valor de 15,00€ (P.V.P).</t>
  </si>
  <si>
    <t>The car park located on the premises of FIL is under concession to Placegar – Gestão de Car Parks.
FIL, in conjunction with this concessionaire, maintains the sale of car park cards at fairs, valid for the period of assembly, realization and disassembly in the totality of the times defined for each of these periods.
The car park is open 24 hours a day.
The Exhibitor may also purchase a daily ticket for €15.00 (P.V.P) at the payment machines in the car park.</t>
  </si>
  <si>
    <t>El aparcamiento situado en las instalaciones de la FIL está en concesión a Placegar – Gestão de Car Parks.
FIL, en colaboración con este concesionario, mantiene la venta de tarjetas de aparcamiento en ferias, válidas para el periodo de montaje, realización y desmontaje en la totalidad de los tiempos definidos para cada uno de estos periodos.
El aparcamiento está abierto las 24 horas.
El Expositor también podrá adquirir una entrada diaria por 15,00 € (P.V.P) en las máquinas de pago del parking.</t>
  </si>
  <si>
    <t>Le parking situé dans les locaux de FIL est sous concession à Placegar – Gestão de Car Parks.
FIL, en liaison avec ce concessionnaire, maintient la vente de cartes de parking sur les salons, valables pour la période de montage, réalisation et démontage dans la totalité des horaires définis pour chacune de ces périodes.
Le parking est ouvert 24h/24.
L'Exposant pourra également acheter un ticket journalier à 15,00 € (P.V.P) aux caisses automatiques du parking.</t>
  </si>
  <si>
    <t>ATENÇÃO as medidas são: Largura x Altura</t>
  </si>
  <si>
    <t>ATTENTION the measurements are: Width x Height</t>
  </si>
  <si>
    <t>ATENCIÓN las dimensiones son: Ancho x Alto</t>
  </si>
  <si>
    <t>ATTENTION les mesures sont: Largeur x Hauteur</t>
  </si>
  <si>
    <t>(Aplicável em espaços de 9m2 com 3 frentes)</t>
  </si>
  <si>
    <t>(Applicable in spaces of 9m2 with 3 fronts)</t>
  </si>
  <si>
    <t>(Aplicable en espacios de 9m2 con 3 callles)</t>
  </si>
  <si>
    <t>(Applicable en espaces de 9m2 avec 3 devants)</t>
  </si>
  <si>
    <t>(1,40m x 2,30m x 0,90m)</t>
  </si>
  <si>
    <t>(1,00m x 1,20m)</t>
  </si>
  <si>
    <t>Mesa(s)</t>
  </si>
  <si>
    <t>Table(s)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</si>
  <si>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</si>
  <si>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</si>
  <si>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</si>
  <si>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</si>
  <si>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</si>
  <si>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</si>
  <si>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</si>
  <si>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</si>
  <si>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TIPO LFA</t>
  </si>
  <si>
    <t xml:space="preserve">Balcão FIL A com portas e fechadura    </t>
  </si>
  <si>
    <t xml:space="preserve">Counter FIL A with doors and lock </t>
  </si>
  <si>
    <t>Mostrador FIL A con puertas y cerradura</t>
  </si>
  <si>
    <t xml:space="preserve">Compteur FIL A avec portes et verrouiller </t>
  </si>
  <si>
    <t>Prateleira</t>
  </si>
  <si>
    <t>Shelves</t>
  </si>
  <si>
    <t>Estantería</t>
  </si>
  <si>
    <t>Étagères</t>
  </si>
  <si>
    <t>Mesa redonda  - CHOPSTICK</t>
  </si>
  <si>
    <t xml:space="preserve">Round table  - CHOPSTICK </t>
  </si>
  <si>
    <t>Table ronde  - CHOPSTICK</t>
  </si>
  <si>
    <t>LFA</t>
  </si>
  <si>
    <t>Sim</t>
  </si>
  <si>
    <t>Não</t>
  </si>
  <si>
    <t>Yes</t>
  </si>
  <si>
    <t>No</t>
  </si>
  <si>
    <t>Sí</t>
  </si>
  <si>
    <t>Oui</t>
  </si>
  <si>
    <t>Non</t>
  </si>
  <si>
    <t>REQUISIÇÃO DE STAND E SERVIÇOS FIL</t>
  </si>
  <si>
    <t>SOLICITUD DE STAND Y SERVICIOS FIL</t>
  </si>
  <si>
    <t>DEMANDE DE STAND ET SERVICES FIL</t>
  </si>
  <si>
    <t>REQUEST FOR STAND AND FIL SERVICES</t>
  </si>
  <si>
    <t>DUNLIN</t>
  </si>
  <si>
    <t>Pagamento Total do Espaço</t>
  </si>
  <si>
    <t>28 de Fevereiro a 03 de Março de 2024</t>
  </si>
  <si>
    <t>February 28 to March 3, 2024</t>
  </si>
  <si>
    <t>28 de Febrero al 03 de Marzo de 2024</t>
  </si>
  <si>
    <t>28 Février au 03 Mars 2024</t>
  </si>
  <si>
    <t>BTL 2024</t>
  </si>
  <si>
    <r>
      <rPr>
        <b/>
        <sz val="10"/>
        <color theme="3"/>
        <rFont val="Calibri"/>
        <family val="2"/>
        <scheme val="minor"/>
      </rPr>
      <t>1º</t>
    </r>
    <r>
      <rPr>
        <sz val="8"/>
        <color theme="3"/>
        <rFont val="Calibri"/>
        <family val="2"/>
        <scheme val="minor"/>
      </rPr>
      <t xml:space="preserve"> dia Montagem + </t>
    </r>
    <r>
      <rPr>
        <b/>
        <sz val="10"/>
        <color theme="3"/>
        <rFont val="Calibri"/>
        <family val="2"/>
        <scheme val="minor"/>
      </rPr>
      <t>P</t>
    </r>
    <r>
      <rPr>
        <sz val="10"/>
        <color theme="3"/>
        <rFont val="Calibri"/>
        <family val="2"/>
        <scheme val="minor"/>
      </rPr>
      <t>ag</t>
    </r>
    <r>
      <rPr>
        <sz val="8"/>
        <color theme="3"/>
        <rFont val="Calibri"/>
        <family val="2"/>
        <scheme val="minor"/>
      </rPr>
      <t xml:space="preserve">. Total </t>
    </r>
    <r>
      <rPr>
        <b/>
        <sz val="10"/>
        <color theme="3"/>
        <rFont val="Calibri"/>
        <family val="2"/>
        <scheme val="minor"/>
      </rPr>
      <t>S</t>
    </r>
    <r>
      <rPr>
        <sz val="8"/>
        <color theme="3"/>
        <rFont val="Calibri"/>
        <family val="2"/>
        <scheme val="minor"/>
      </rPr>
      <t>erviços</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</si>
  <si>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 xml:space="preserve">rtes + </t>
    </r>
    <r>
      <rPr>
        <b/>
        <sz val="11"/>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t>
    </r>
  </si>
  <si>
    <r>
      <t xml:space="preserve">Ùltimo dia Montagem   +   </t>
    </r>
    <r>
      <rPr>
        <b/>
        <sz val="8"/>
        <color theme="3"/>
        <rFont val="Calibri"/>
        <family val="2"/>
        <scheme val="minor"/>
      </rPr>
      <t>Bilhetes</t>
    </r>
  </si>
  <si>
    <r>
      <t xml:space="preserve">Último dia Feira + </t>
    </r>
    <r>
      <rPr>
        <b/>
        <sz val="8"/>
        <color theme="3"/>
        <rFont val="Calibri"/>
        <family val="2"/>
        <scheme val="minor"/>
      </rPr>
      <t>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</si>
  <si>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</si>
  <si>
    <t>Tomada Tripla Monofásica 10A</t>
  </si>
  <si>
    <t>Plug Triple Single Phase 10A</t>
  </si>
  <si>
    <t>Enchufe Triple Monofásico 10A</t>
  </si>
  <si>
    <t>Prise Triple Monophasé 10A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</si>
</sst>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0.00\ &quot;€&quot;;\-#,##0.00\ &quot;€&quot;"/>
    <numFmt numFmtId="43" formatCode="_-* #,##0.00_-;\-* #,##0.00_-;_-* &quot;-&quot;??_-;_-@_-"/>
    <numFmt numFmtId="164" formatCode="_-* #,##0.00\ _€_-;\-* #,##0.00\ _€_-;_-* &quot;-&quot;??\ _€_-;_-@_-"/>
    <numFmt numFmtId="165" formatCode="dd\ \/\ mm\ \/\ yyyy"/>
    <numFmt numFmtId="166" formatCode="#,##0.00\ &quot;€&quot;"/>
    <numFmt numFmtId="167" formatCode="#,##0.0"/>
    <numFmt numFmtId="168" formatCode="dd/mm/yy"/>
    <numFmt numFmtId="169" formatCode="dd/mm/yy;@"/>
  </numFmts>
  <fonts count="135" x14ac:knownFonts="1">
    <font>
      <sz val="10"/>
      <name val="Arial"/>
    </font>
    <font>
      <sz val="11"/>
      <color theme="1"/>
      <name val="Calibri"/>
      <family val="2"/>
      <scheme val="minor"/>
    </font>
    <font>
      <sz val="8"/>
      <color theme="1"/>
      <name val="Calibri"/>
      <family val="2"/>
    </font>
    <font>
      <sz val="8"/>
      <color theme="1"/>
      <name val="Calibri"/>
      <family val="2"/>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b/>
      <u/>
      <sz val="8"/>
      <color rgb="FF1F497D"/>
      <name val="Calibri"/>
      <family val="2"/>
    </font>
    <font>
      <sz val="8"/>
      <color rgb="FF1F497D"/>
      <name val="Calibri"/>
      <family val="2"/>
    </font>
    <font>
      <b/>
      <sz val="8"/>
      <color theme="0"/>
      <name val="Calibri"/>
      <family val="2"/>
    </font>
    <font>
      <b/>
      <sz val="8"/>
      <color rgb="FFFF0000"/>
      <name val="Rockwell Extra Bold"/>
      <family val="1"/>
    </font>
    <font>
      <b/>
      <sz val="8"/>
      <color rgb="FFFF0000"/>
      <name val="Calibri"/>
      <family val="2"/>
    </font>
    <font>
      <sz val="8"/>
      <color theme="3"/>
      <name val="Calibri"/>
      <family val="2"/>
      <scheme val="minor"/>
    </font>
    <font>
      <sz val="8"/>
      <color theme="9" tint="-0.249977111117893"/>
      <name val="Calibri"/>
      <family val="2"/>
    </font>
    <font>
      <b/>
      <sz val="8"/>
      <color theme="3"/>
      <name val="Calibri"/>
      <family val="2"/>
      <scheme val="minor"/>
    </font>
    <font>
      <b/>
      <sz val="10"/>
      <color theme="3"/>
      <name val="Calibri"/>
      <family val="2"/>
      <scheme val="minor"/>
    </font>
    <font>
      <b/>
      <sz val="8"/>
      <name val="Calibri"/>
      <family val="2"/>
      <scheme val="minor"/>
    </font>
    <font>
      <b/>
      <u/>
      <sz val="8"/>
      <color theme="3"/>
      <name val="Calibri"/>
      <family val="2"/>
      <scheme val="minor"/>
    </font>
    <font>
      <sz val="8"/>
      <color theme="0"/>
      <name val="Calibri"/>
      <family val="2"/>
      <scheme val="minor"/>
    </font>
    <font>
      <sz val="8"/>
      <color rgb="FFFF0000"/>
      <name val="Calibri"/>
      <family val="2"/>
      <scheme val="minor"/>
    </font>
    <font>
      <sz val="8"/>
      <color rgb="FF1F497D"/>
      <name val="Calibri"/>
      <family val="2"/>
      <scheme val="minor"/>
    </font>
    <font>
      <b/>
      <u/>
      <sz val="8"/>
      <color theme="10"/>
      <name val="Calibri"/>
      <family val="2"/>
      <scheme val="minor"/>
    </font>
    <font>
      <b/>
      <sz val="8"/>
      <name val="Calibri"/>
      <family val="2"/>
    </font>
    <font>
      <sz val="8"/>
      <color theme="8"/>
      <name val="Calibri"/>
      <family val="2"/>
    </font>
    <font>
      <sz val="8"/>
      <color theme="8"/>
      <name val="Calibri"/>
      <family val="2"/>
      <scheme val="minor"/>
    </font>
    <font>
      <b/>
      <sz val="11"/>
      <color theme="3"/>
      <name val="Calibri"/>
      <family val="2"/>
      <scheme val="minor"/>
    </font>
    <font>
      <sz val="8"/>
      <color theme="0"/>
      <name val="Calibri"/>
      <family val="2"/>
    </font>
    <font>
      <sz val="8"/>
      <color theme="1" tint="0.34998626667073579"/>
      <name val="Calibri"/>
      <family val="2"/>
      <scheme val="minor"/>
    </font>
    <font>
      <sz val="8"/>
      <color theme="9" tint="-0.249977111117893"/>
      <name val="Calibri"/>
      <family val="2"/>
      <scheme val="minor"/>
    </font>
    <font>
      <sz val="9"/>
      <color theme="1"/>
      <name val="Calibri"/>
      <family val="2"/>
    </font>
    <font>
      <b/>
      <sz val="9"/>
      <color theme="3"/>
      <name val="Calibri"/>
      <family val="2"/>
    </font>
    <font>
      <u/>
      <sz val="9"/>
      <color theme="10"/>
      <name val="Calibri"/>
      <family val="2"/>
    </font>
    <font>
      <b/>
      <u/>
      <sz val="8"/>
      <color theme="10"/>
      <name val="Calibri"/>
      <family val="2"/>
    </font>
    <font>
      <u/>
      <sz val="8"/>
      <color theme="10"/>
      <name val="Calibri"/>
      <family val="2"/>
    </font>
    <font>
      <b/>
      <sz val="8"/>
      <color rgb="FF0000FF"/>
      <name val="Calibri"/>
      <family val="2"/>
      <scheme val="minor"/>
    </font>
    <font>
      <sz val="8"/>
      <color theme="3" tint="0.39997558519241921"/>
      <name val="Calibri"/>
      <family val="2"/>
      <scheme val="minor"/>
    </font>
    <font>
      <b/>
      <sz val="8"/>
      <color theme="1"/>
      <name val="Calibri"/>
      <family val="2"/>
      <scheme val="minor"/>
    </font>
    <font>
      <sz val="8"/>
      <color theme="1"/>
      <name val="Calibri"/>
      <family val="2"/>
      <scheme val="minor"/>
    </font>
    <font>
      <sz val="8"/>
      <color theme="4"/>
      <name val="Calibri"/>
      <family val="2"/>
      <scheme val="minor"/>
    </font>
    <font>
      <b/>
      <sz val="10"/>
      <color rgb="FF0000FF"/>
      <name val="Wingdings"/>
      <charset val="2"/>
    </font>
    <font>
      <sz val="8"/>
      <color theme="4"/>
      <name val="Calibri"/>
      <family val="2"/>
    </font>
    <font>
      <sz val="8"/>
      <color rgb="FF1F497D"/>
      <name val="Arial"/>
      <family val="2"/>
    </font>
    <font>
      <sz val="8"/>
      <color theme="3" tint="0.39997558519241921"/>
      <name val="Calibri"/>
      <family val="2"/>
    </font>
    <font>
      <b/>
      <u/>
      <sz val="8"/>
      <color rgb="FF3333FF"/>
      <name val="Arial"/>
      <family val="2"/>
    </font>
    <font>
      <b/>
      <sz val="10"/>
      <color theme="3"/>
      <name val="Calibri"/>
      <family val="2"/>
    </font>
    <font>
      <sz val="8"/>
      <color theme="1" tint="0.499984740745262"/>
      <name val="Calibri"/>
      <family val="2"/>
    </font>
    <font>
      <sz val="7"/>
      <color theme="1" tint="0.34998626667073579"/>
      <name val="Calibri"/>
      <family val="2"/>
    </font>
    <font>
      <sz val="7"/>
      <color theme="1" tint="0.34998626667073579"/>
      <name val="Calibri"/>
      <family val="2"/>
      <scheme val="minor"/>
    </font>
    <font>
      <u/>
      <sz val="10"/>
      <color rgb="FF0000FF"/>
      <name val="Arial"/>
      <family val="2"/>
    </font>
    <font>
      <sz val="9"/>
      <color theme="3"/>
      <name val="Calibri"/>
      <family val="2"/>
      <scheme val="minor"/>
    </font>
    <font>
      <sz val="8"/>
      <name val="Calibri"/>
      <family val="2"/>
      <scheme val="minor"/>
    </font>
    <font>
      <sz val="8"/>
      <name val="Arial"/>
      <family val="2"/>
    </font>
    <font>
      <sz val="9"/>
      <color rgb="FFFF0000"/>
      <name val="Calibri"/>
      <family val="2"/>
      <scheme val="minor"/>
    </font>
    <font>
      <sz val="7"/>
      <name val="Calibri"/>
      <family val="2"/>
      <scheme val="minor"/>
    </font>
    <font>
      <sz val="7"/>
      <name val="Calibri"/>
      <family val="2"/>
    </font>
    <font>
      <b/>
      <sz val="7"/>
      <name val="Calibri"/>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theme="3"/>
      <name val="Calibri"/>
      <family val="2"/>
      <scheme val="minor"/>
    </font>
    <font>
      <b/>
      <sz val="9"/>
      <color theme="3"/>
      <name val="Calibri"/>
      <family val="2"/>
      <scheme val="minor"/>
    </font>
    <font>
      <b/>
      <sz val="8"/>
      <color rgb="FFFF0000"/>
      <name val="Calibri"/>
      <family val="2"/>
      <scheme val="minor"/>
    </font>
    <font>
      <sz val="7"/>
      <color theme="0"/>
      <name val="Calibri"/>
      <family val="2"/>
    </font>
    <font>
      <sz val="8"/>
      <color rgb="FFFF0000"/>
      <name val="Calibri"/>
      <family val="2"/>
    </font>
    <font>
      <sz val="8"/>
      <color theme="1" tint="0.14999847407452621"/>
      <name val="Calibri"/>
      <family val="2"/>
      <scheme val="minor"/>
    </font>
    <font>
      <sz val="8"/>
      <color theme="1" tint="4.9989318521683403E-2"/>
      <name val="Calibri"/>
      <family val="2"/>
      <scheme val="minor"/>
    </font>
    <font>
      <b/>
      <sz val="9"/>
      <name val="Calibri"/>
      <family val="2"/>
    </font>
    <font>
      <sz val="10"/>
      <name val="Arial"/>
      <family val="2"/>
    </font>
    <font>
      <b/>
      <u/>
      <sz val="18"/>
      <color theme="3"/>
      <name val="Calibri"/>
      <family val="2"/>
    </font>
    <font>
      <b/>
      <u/>
      <sz val="10"/>
      <color rgb="FF0000FF"/>
      <name val="Arial"/>
      <family val="2"/>
    </font>
    <font>
      <b/>
      <sz val="12"/>
      <color theme="3"/>
      <name val="Arial"/>
      <family val="2"/>
    </font>
    <font>
      <b/>
      <sz val="14"/>
      <color theme="3"/>
      <name val="Calibri"/>
      <family val="2"/>
      <scheme val="minor"/>
    </font>
    <font>
      <sz val="7"/>
      <color theme="1" tint="4.9989318521683403E-2"/>
      <name val="Calibri"/>
      <family val="2"/>
    </font>
    <font>
      <b/>
      <u/>
      <sz val="9"/>
      <color rgb="FF0000FF"/>
      <name val="Calibri"/>
      <family val="2"/>
      <scheme val="minor"/>
    </font>
    <font>
      <b/>
      <u/>
      <sz val="8"/>
      <color theme="10"/>
      <name val="Arial"/>
      <family val="2"/>
    </font>
    <font>
      <b/>
      <sz val="9"/>
      <color rgb="FFFF0000"/>
      <name val="Calibri"/>
      <family val="2"/>
    </font>
    <font>
      <b/>
      <sz val="9"/>
      <color rgb="FFFF0000"/>
      <name val="Rockwell Extra Bold"/>
      <family val="1"/>
    </font>
    <font>
      <sz val="8"/>
      <color theme="9"/>
      <name val="Calibri"/>
      <family val="2"/>
    </font>
    <font>
      <b/>
      <u/>
      <sz val="11"/>
      <color theme="3"/>
      <name val="Calibri"/>
      <family val="2"/>
    </font>
    <font>
      <sz val="7"/>
      <color theme="1"/>
      <name val="Calibri"/>
      <family val="2"/>
      <scheme val="minor"/>
    </font>
    <font>
      <sz val="8"/>
      <color theme="1" tint="4.9989318521683403E-2"/>
      <name val="Calibri"/>
      <family val="2"/>
    </font>
    <font>
      <b/>
      <sz val="8"/>
      <color theme="1"/>
      <name val="Calibri"/>
      <family val="2"/>
    </font>
    <font>
      <b/>
      <sz val="11"/>
      <color theme="3"/>
      <name val="Calibri"/>
      <family val="2"/>
    </font>
    <font>
      <sz val="11"/>
      <color theme="3"/>
      <name val="Calibri"/>
      <family val="2"/>
    </font>
    <font>
      <b/>
      <sz val="12"/>
      <color theme="0"/>
      <name val="Calibri"/>
      <family val="2"/>
    </font>
    <font>
      <sz val="10"/>
      <color theme="3"/>
      <name val="Calibri"/>
      <family val="2"/>
      <scheme val="minor"/>
    </font>
    <font>
      <b/>
      <sz val="10"/>
      <color theme="0"/>
      <name val="Calibri"/>
      <family val="2"/>
    </font>
    <font>
      <b/>
      <u/>
      <sz val="8"/>
      <color theme="0"/>
      <name val="Calibri"/>
      <family val="2"/>
    </font>
    <font>
      <b/>
      <sz val="10"/>
      <color theme="0"/>
      <name val="Roboto Light"/>
    </font>
    <font>
      <sz val="7"/>
      <color theme="0"/>
      <name val="Calibri"/>
      <family val="2"/>
      <scheme val="minor"/>
    </font>
    <font>
      <b/>
      <sz val="8"/>
      <color theme="0"/>
      <name val="Calibri"/>
      <family val="2"/>
      <scheme val="minor"/>
    </font>
    <font>
      <u/>
      <sz val="8"/>
      <color theme="0"/>
      <name val="Calibri"/>
      <family val="2"/>
    </font>
    <font>
      <sz val="9"/>
      <color theme="0"/>
      <name val="Calibri"/>
      <family val="2"/>
      <scheme val="minor"/>
    </font>
    <font>
      <b/>
      <u/>
      <sz val="10"/>
      <color theme="10"/>
      <name val="Arial"/>
      <family val="2"/>
    </font>
  </fonts>
  <fills count="82">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FFFF00"/>
        <bgColor indexed="64"/>
      </patternFill>
    </fill>
    <fill>
      <patternFill patternType="solid">
        <fgColor rgb="FFCCFF99"/>
        <bgColor indexed="64"/>
      </patternFill>
    </fill>
    <fill>
      <patternFill patternType="solid">
        <fgColor theme="0" tint="-0.14999847407452621"/>
        <bgColor indexed="64"/>
      </patternFill>
    </fill>
    <fill>
      <patternFill patternType="solid">
        <fgColor rgb="FFEAEAEA"/>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1FFE1"/>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tint="-0.34998626667073579"/>
        <bgColor indexed="64"/>
      </patternFill>
    </fill>
    <fill>
      <patternFill patternType="solid">
        <fgColor theme="3"/>
        <bgColor indexed="64"/>
      </patternFill>
    </fill>
  </fills>
  <borders count="1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n">
        <color theme="3"/>
      </top>
      <bottom/>
      <diagonal/>
    </border>
    <border>
      <left/>
      <right/>
      <top/>
      <bottom style="thin">
        <color theme="3"/>
      </bottom>
      <diagonal/>
    </border>
    <border>
      <left/>
      <right style="thin">
        <color indexed="64"/>
      </right>
      <top style="thin">
        <color indexed="64"/>
      </top>
      <bottom/>
      <diagonal/>
    </border>
    <border>
      <left style="thick">
        <color theme="3"/>
      </left>
      <right/>
      <top/>
      <bottom style="thin">
        <color theme="3"/>
      </bottom>
      <diagonal/>
    </border>
    <border>
      <left/>
      <right style="thick">
        <color theme="3"/>
      </right>
      <top/>
      <bottom style="thin">
        <color theme="3"/>
      </bottom>
      <diagonal/>
    </border>
    <border>
      <left/>
      <right/>
      <top style="hair">
        <color rgb="FF92D050"/>
      </top>
      <bottom/>
      <diagonal/>
    </border>
    <border>
      <left/>
      <right/>
      <top/>
      <bottom style="thick">
        <color theme="3"/>
      </bottom>
      <diagonal/>
    </border>
    <border>
      <left style="thin">
        <color indexed="64"/>
      </left>
      <right/>
      <top style="thin">
        <color indexed="64"/>
      </top>
      <bottom/>
      <diagonal/>
    </border>
    <border>
      <left style="thick">
        <color theme="3"/>
      </left>
      <right/>
      <top/>
      <bottom style="thick">
        <color theme="3"/>
      </bottom>
      <diagonal/>
    </border>
    <border>
      <left/>
      <right style="thick">
        <color theme="3"/>
      </right>
      <top/>
      <bottom style="thick">
        <color theme="3"/>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bottom style="hair">
        <color theme="0" tint="-0.34998626667073579"/>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hair">
        <color theme="3"/>
      </left>
      <right/>
      <top style="hair">
        <color theme="3"/>
      </top>
      <bottom/>
      <diagonal/>
    </border>
    <border>
      <left/>
      <right style="hair">
        <color theme="3"/>
      </right>
      <top style="hair">
        <color theme="3"/>
      </top>
      <bottom/>
      <diagonal/>
    </border>
    <border>
      <left style="hair">
        <color theme="3"/>
      </left>
      <right/>
      <top/>
      <bottom style="hair">
        <color theme="3"/>
      </bottom>
      <diagonal/>
    </border>
    <border>
      <left/>
      <right style="hair">
        <color theme="3"/>
      </right>
      <top/>
      <bottom style="hair">
        <color theme="3"/>
      </bottom>
      <diagonal/>
    </border>
    <border>
      <left/>
      <right style="hair">
        <color theme="0" tint="-0.24994659260841701"/>
      </right>
      <top/>
      <bottom style="hair">
        <color theme="0" tint="-0.24994659260841701"/>
      </bottom>
      <diagonal/>
    </border>
    <border>
      <left style="thin">
        <color indexed="64"/>
      </left>
      <right/>
      <top style="thin">
        <color indexed="64"/>
      </top>
      <bottom style="thin">
        <color indexed="64"/>
      </bottom>
      <diagonal/>
    </border>
    <border>
      <left/>
      <right/>
      <top/>
      <bottom style="medium">
        <color rgb="FF92D05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theme="0"/>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int="-0.24994659260841701"/>
      </top>
      <bottom/>
      <diagonal/>
    </border>
    <border>
      <left style="thin">
        <color indexed="64"/>
      </left>
      <right style="thin">
        <color indexed="64"/>
      </right>
      <top/>
      <bottom style="thin">
        <color theme="0" tint="-0.24994659260841701"/>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theme="0" tint="-0.24994659260841701"/>
      </right>
      <top style="hair">
        <color theme="0" tint="-0.24994659260841701"/>
      </top>
      <bottom style="hair">
        <color theme="0" tint="-0.24994659260841701"/>
      </bottom>
      <diagonal/>
    </border>
    <border>
      <left style="thin">
        <color indexed="64"/>
      </left>
      <right style="thin">
        <color indexed="64"/>
      </right>
      <top style="thin">
        <color indexed="64"/>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thin">
        <color indexed="64"/>
      </bottom>
      <diagonal/>
    </border>
    <border>
      <left/>
      <right style="hair">
        <color theme="0" tint="-0.24994659260841701"/>
      </right>
      <top style="hair">
        <color theme="0" tint="-0.24994659260841701"/>
      </top>
      <bottom style="thin">
        <color indexed="64"/>
      </bottom>
      <diagonal/>
    </border>
    <border>
      <left style="thin">
        <color indexed="64"/>
      </left>
      <right style="thin">
        <color indexed="64"/>
      </right>
      <top style="hair">
        <color theme="0" tint="-0.24994659260841701"/>
      </top>
      <bottom style="thin">
        <color theme="0" tint="-0.24994659260841701"/>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right style="hair">
        <color indexed="64"/>
      </right>
      <top/>
      <bottom/>
      <diagonal/>
    </border>
    <border>
      <left/>
      <right/>
      <top style="hair">
        <color auto="1"/>
      </top>
      <bottom style="hair">
        <color auto="1"/>
      </bottom>
      <diagonal/>
    </border>
    <border>
      <left/>
      <right/>
      <top/>
      <bottom style="hair">
        <color theme="3"/>
      </bottom>
      <diagonal/>
    </border>
    <border>
      <left style="thin">
        <color rgb="FF000000"/>
      </left>
      <right/>
      <top/>
      <bottom style="thin">
        <color indexed="64"/>
      </bottom>
      <diagonal/>
    </border>
    <border>
      <left style="medium">
        <color rgb="FF92D050"/>
      </left>
      <right/>
      <top/>
      <bottom/>
      <diagonal/>
    </border>
    <border>
      <left/>
      <right style="thin">
        <color indexed="64"/>
      </right>
      <top style="hair">
        <color theme="0" tint="-0.24994659260841701"/>
      </top>
      <bottom style="hair">
        <color theme="0" tint="-0.24994659260841701"/>
      </bottom>
      <diagonal/>
    </border>
    <border>
      <left style="hair">
        <color theme="0" tint="-0.24994659260841701"/>
      </left>
      <right style="thin">
        <color indexed="64"/>
      </right>
      <top style="hair">
        <color theme="0" tint="-0.24994659260841701"/>
      </top>
      <bottom style="hair">
        <color theme="0" tint="-0.24994659260841701"/>
      </bottom>
      <diagonal/>
    </border>
    <border>
      <left style="hair">
        <color theme="0" tint="-0.24994659260841701"/>
      </left>
      <right style="thin">
        <color indexed="64"/>
      </right>
      <top style="hair">
        <color theme="0" tint="-0.24994659260841701"/>
      </top>
      <bottom style="thin">
        <color indexed="64"/>
      </bottom>
      <diagonal/>
    </border>
    <border>
      <left/>
      <right/>
      <top style="medium">
        <color rgb="FF92D050"/>
      </top>
      <bottom/>
      <diagonal/>
    </border>
    <border>
      <left/>
      <right/>
      <top style="hair">
        <color theme="3"/>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style="thick">
        <color rgb="FF92D050"/>
      </right>
      <top style="thick">
        <color theme="3"/>
      </top>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theme="0" tint="-0.24994659260841701"/>
      </top>
      <bottom style="hair">
        <color theme="0" tint="-0.24994659260841701"/>
      </bottom>
      <diagonal/>
    </border>
    <border>
      <left/>
      <right/>
      <top style="thin">
        <color indexed="64"/>
      </top>
      <bottom style="thin">
        <color indexed="64"/>
      </bottom>
      <diagonal/>
    </border>
    <border>
      <left style="hair">
        <color theme="3"/>
      </left>
      <right style="hair">
        <color theme="3"/>
      </right>
      <top style="hair">
        <color theme="3"/>
      </top>
      <bottom/>
      <diagonal/>
    </border>
    <border>
      <left style="hair">
        <color theme="3"/>
      </left>
      <right style="hair">
        <color theme="3"/>
      </right>
      <top/>
      <bottom style="hair">
        <color theme="3"/>
      </bottom>
      <diagonal/>
    </border>
    <border>
      <left/>
      <right/>
      <top/>
      <bottom style="thick">
        <color rgb="FF92D050"/>
      </bottom>
      <diagonal/>
    </border>
    <border>
      <left style="thin">
        <color indexed="64"/>
      </left>
      <right/>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hair">
        <color theme="0" tint="-0.24994659260841701"/>
      </right>
      <top style="hair">
        <color theme="0" tint="-0.24994659260841701"/>
      </top>
      <bottom style="hair">
        <color theme="0" tint="-0.24994659260841701"/>
      </bottom>
      <diagonal/>
    </border>
    <border>
      <left style="thin">
        <color indexed="64"/>
      </left>
      <right style="hair">
        <color theme="0" tint="-0.24994659260841701"/>
      </right>
      <top style="hair">
        <color theme="0" tint="-0.24994659260841701"/>
      </top>
      <bottom style="thin">
        <color indexed="64"/>
      </bottom>
      <diagonal/>
    </border>
    <border>
      <left/>
      <right style="thin">
        <color indexed="64"/>
      </right>
      <top/>
      <bottom style="hair">
        <color theme="0" tint="-0.24994659260841701"/>
      </bottom>
      <diagonal/>
    </border>
    <border>
      <left style="medium">
        <color theme="3"/>
      </left>
      <right/>
      <top/>
      <bottom style="thick">
        <color theme="3"/>
      </bottom>
      <diagonal/>
    </border>
    <border>
      <left/>
      <right style="medium">
        <color theme="3"/>
      </right>
      <top/>
      <bottom style="thick">
        <color theme="3"/>
      </bottom>
      <diagonal/>
    </border>
    <border>
      <left/>
      <right/>
      <top/>
      <bottom style="thin">
        <color rgb="FF92D050"/>
      </bottom>
      <diagonal/>
    </border>
    <border>
      <left style="thick">
        <color theme="3"/>
      </left>
      <right style="thick">
        <color theme="3"/>
      </right>
      <top style="thick">
        <color theme="3"/>
      </top>
      <bottom style="thick">
        <color theme="3"/>
      </bottom>
      <diagonal/>
    </border>
    <border>
      <left style="hair">
        <color theme="3"/>
      </left>
      <right style="hair">
        <color theme="3"/>
      </right>
      <top style="medium">
        <color theme="3"/>
      </top>
      <bottom style="hair">
        <color theme="3"/>
      </bottom>
      <diagonal/>
    </border>
    <border>
      <left style="hair">
        <color theme="3"/>
      </left>
      <right style="medium">
        <color theme="3"/>
      </right>
      <top style="medium">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medium">
        <color theme="3"/>
      </right>
      <top style="hair">
        <color theme="3"/>
      </top>
      <bottom style="hair">
        <color theme="3"/>
      </bottom>
      <diagonal/>
    </border>
    <border>
      <left style="medium">
        <color theme="3"/>
      </left>
      <right/>
      <top style="hair">
        <color theme="3"/>
      </top>
      <bottom style="hair">
        <color theme="3"/>
      </bottom>
      <diagonal/>
    </border>
    <border>
      <left/>
      <right style="medium">
        <color theme="3"/>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theme="3"/>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style="medium">
        <color theme="3"/>
      </right>
      <top style="hair">
        <color theme="3"/>
      </top>
      <bottom style="medium">
        <color theme="3"/>
      </bottom>
      <diagonal/>
    </border>
    <border>
      <left/>
      <right/>
      <top style="thin">
        <color theme="3"/>
      </top>
      <bottom style="medium">
        <color theme="3"/>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theme="3"/>
      </bottom>
      <diagonal/>
    </border>
    <border>
      <left/>
      <right style="medium">
        <color rgb="FF92D050"/>
      </right>
      <top/>
      <bottom/>
      <diagonal/>
    </border>
    <border>
      <left/>
      <right style="medium">
        <color indexed="64"/>
      </right>
      <top style="thin">
        <color indexed="64"/>
      </top>
      <bottom style="thin">
        <color indexed="64"/>
      </bottom>
      <diagonal/>
    </border>
    <border>
      <left/>
      <right style="thin">
        <color indexed="64"/>
      </right>
      <top style="thin">
        <color indexed="64"/>
      </top>
      <bottom style="hair">
        <color theme="0" tint="-0.2499465926084170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hair">
        <color theme="0" tint="-0.24994659260841701"/>
      </top>
      <bottom style="thin">
        <color theme="0" tint="-0.24994659260841701"/>
      </bottom>
      <diagonal/>
    </border>
    <border>
      <left/>
      <right style="thin">
        <color indexed="64"/>
      </right>
      <top style="hair">
        <color theme="0" tint="-0.24994659260841701"/>
      </top>
      <bottom style="thin">
        <color indexed="64"/>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ck">
        <color theme="3"/>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s>
  <cellStyleXfs count="142">
    <xf numFmtId="0" fontId="0" fillId="0" borderId="0"/>
    <xf numFmtId="0" fontId="5"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5" fillId="20"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21" borderId="0" applyNumberFormat="0" applyBorder="0" applyAlignment="0" applyProtection="0"/>
    <xf numFmtId="0" fontId="6" fillId="22" borderId="0" applyNumberFormat="0" applyBorder="0" applyAlignment="0" applyProtection="0"/>
    <xf numFmtId="0" fontId="6" fillId="14" borderId="0" applyNumberFormat="0" applyBorder="0" applyAlignment="0" applyProtection="0"/>
    <xf numFmtId="0" fontId="5" fillId="23" borderId="0" applyNumberFormat="0" applyBorder="0" applyAlignment="0" applyProtection="0"/>
    <xf numFmtId="0" fontId="7" fillId="14" borderId="0" applyNumberFormat="0" applyBorder="0" applyAlignment="0" applyProtection="0"/>
    <xf numFmtId="0" fontId="8" fillId="24" borderId="1" applyNumberFormat="0" applyAlignment="0" applyProtection="0"/>
    <xf numFmtId="0" fontId="9" fillId="15" borderId="2" applyNumberFormat="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2" fillId="28"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23" borderId="1" applyNumberFormat="0" applyAlignment="0" applyProtection="0"/>
    <xf numFmtId="0" fontId="17" fillId="0" borderId="6" applyNumberFormat="0" applyFill="0" applyAlignment="0" applyProtection="0"/>
    <xf numFmtId="0" fontId="18" fillId="23" borderId="0" applyNumberFormat="0" applyBorder="0" applyAlignment="0" applyProtection="0"/>
    <xf numFmtId="0" fontId="10" fillId="22" borderId="7" applyNumberFormat="0" applyFont="0" applyAlignment="0" applyProtection="0"/>
    <xf numFmtId="0" fontId="19" fillId="24" borderId="8" applyNumberFormat="0" applyAlignment="0" applyProtection="0"/>
    <xf numFmtId="4" fontId="20" fillId="29" borderId="9" applyNumberFormat="0" applyProtection="0">
      <alignment vertical="center"/>
    </xf>
    <xf numFmtId="4" fontId="21" fillId="29" borderId="9" applyNumberFormat="0" applyProtection="0">
      <alignment vertical="center"/>
    </xf>
    <xf numFmtId="4" fontId="20" fillId="29" borderId="9" applyNumberFormat="0" applyProtection="0">
      <alignment horizontal="left" vertical="center" indent="1"/>
    </xf>
    <xf numFmtId="0" fontId="20" fillId="29" borderId="9" applyNumberFormat="0" applyProtection="0">
      <alignment horizontal="left" vertical="top" indent="1"/>
    </xf>
    <xf numFmtId="4" fontId="20" fillId="30" borderId="0" applyNumberFormat="0" applyProtection="0">
      <alignment horizontal="left" vertical="center" indent="1"/>
    </xf>
    <xf numFmtId="4" fontId="22" fillId="2" borderId="9" applyNumberFormat="0" applyProtection="0">
      <alignment horizontal="right" vertical="center"/>
    </xf>
    <xf numFmtId="4" fontId="22" fillId="4" borderId="9" applyNumberFormat="0" applyProtection="0">
      <alignment horizontal="right" vertical="center"/>
    </xf>
    <xf numFmtId="4" fontId="22" fillId="31" borderId="9" applyNumberFormat="0" applyProtection="0">
      <alignment horizontal="right" vertical="center"/>
    </xf>
    <xf numFmtId="4" fontId="22" fillId="6" borderId="9" applyNumberFormat="0" applyProtection="0">
      <alignment horizontal="right" vertical="center"/>
    </xf>
    <xf numFmtId="4" fontId="22" fillId="7" borderId="9" applyNumberFormat="0" applyProtection="0">
      <alignment horizontal="right" vertical="center"/>
    </xf>
    <xf numFmtId="4" fontId="22" fillId="32" borderId="9" applyNumberFormat="0" applyProtection="0">
      <alignment horizontal="right" vertical="center"/>
    </xf>
    <xf numFmtId="4" fontId="22" fillId="33" borderId="9" applyNumberFormat="0" applyProtection="0">
      <alignment horizontal="right" vertical="center"/>
    </xf>
    <xf numFmtId="4" fontId="22" fillId="34" borderId="9" applyNumberFormat="0" applyProtection="0">
      <alignment horizontal="right" vertical="center"/>
    </xf>
    <xf numFmtId="4" fontId="22" fillId="5" borderId="9" applyNumberFormat="0" applyProtection="0">
      <alignment horizontal="right" vertical="center"/>
    </xf>
    <xf numFmtId="4" fontId="20" fillId="35" borderId="10" applyNumberFormat="0" applyProtection="0">
      <alignment horizontal="left" vertical="center" indent="1"/>
    </xf>
    <xf numFmtId="4" fontId="22" fillId="36" borderId="0" applyNumberFormat="0" applyProtection="0">
      <alignment horizontal="left" vertical="center" indent="1"/>
    </xf>
    <xf numFmtId="4" fontId="23" fillId="37" borderId="0" applyNumberFormat="0" applyProtection="0">
      <alignment horizontal="left" vertical="center" indent="1"/>
    </xf>
    <xf numFmtId="4" fontId="22" fillId="30" borderId="9" applyNumberFormat="0" applyProtection="0">
      <alignment horizontal="right" vertical="center"/>
    </xf>
    <xf numFmtId="4" fontId="24" fillId="36" borderId="0" applyNumberFormat="0" applyProtection="0">
      <alignment horizontal="left" vertical="center" indent="1"/>
    </xf>
    <xf numFmtId="4" fontId="24" fillId="30" borderId="0" applyNumberFormat="0" applyProtection="0">
      <alignment horizontal="left" vertical="center" indent="1"/>
    </xf>
    <xf numFmtId="0" fontId="10" fillId="37" borderId="9" applyNumberFormat="0" applyProtection="0">
      <alignment horizontal="left" vertical="center" indent="1"/>
    </xf>
    <xf numFmtId="0" fontId="10" fillId="37" borderId="9" applyNumberFormat="0" applyProtection="0">
      <alignment horizontal="left" vertical="top" indent="1"/>
    </xf>
    <xf numFmtId="0" fontId="10" fillId="30" borderId="9" applyNumberFormat="0" applyProtection="0">
      <alignment horizontal="left" vertical="center" indent="1"/>
    </xf>
    <xf numFmtId="0" fontId="10" fillId="30" borderId="9" applyNumberFormat="0" applyProtection="0">
      <alignment horizontal="left" vertical="top" indent="1"/>
    </xf>
    <xf numFmtId="0" fontId="10" fillId="3" borderId="9" applyNumberFormat="0" applyProtection="0">
      <alignment horizontal="left" vertical="center" indent="1"/>
    </xf>
    <xf numFmtId="0" fontId="10" fillId="3" borderId="9" applyNumberFormat="0" applyProtection="0">
      <alignment horizontal="left" vertical="top" indent="1"/>
    </xf>
    <xf numFmtId="0" fontId="10" fillId="36" borderId="9" applyNumberFormat="0" applyProtection="0">
      <alignment horizontal="left" vertical="center" indent="1"/>
    </xf>
    <xf numFmtId="0" fontId="10" fillId="36" borderId="9" applyNumberFormat="0" applyProtection="0">
      <alignment horizontal="left" vertical="top" indent="1"/>
    </xf>
    <xf numFmtId="0" fontId="10" fillId="38" borderId="11" applyNumberFormat="0">
      <protection locked="0"/>
    </xf>
    <xf numFmtId="4" fontId="22" fillId="39" borderId="9" applyNumberFormat="0" applyProtection="0">
      <alignment vertical="center"/>
    </xf>
    <xf numFmtId="4" fontId="25" fillId="39" borderId="9" applyNumberFormat="0" applyProtection="0">
      <alignment vertical="center"/>
    </xf>
    <xf numFmtId="4" fontId="22" fillId="39" borderId="9" applyNumberFormat="0" applyProtection="0">
      <alignment horizontal="left" vertical="center" indent="1"/>
    </xf>
    <xf numFmtId="0" fontId="22" fillId="39" borderId="9" applyNumberFormat="0" applyProtection="0">
      <alignment horizontal="left" vertical="top" indent="1"/>
    </xf>
    <xf numFmtId="4" fontId="22" fillId="36" borderId="9" applyNumberFormat="0" applyProtection="0">
      <alignment horizontal="right" vertical="center"/>
    </xf>
    <xf numFmtId="4" fontId="25" fillId="36" borderId="9" applyNumberFormat="0" applyProtection="0">
      <alignment horizontal="right" vertical="center"/>
    </xf>
    <xf numFmtId="4" fontId="22" fillId="30" borderId="9" applyNumberFormat="0" applyProtection="0">
      <alignment horizontal="left" vertical="center" indent="1"/>
    </xf>
    <xf numFmtId="0" fontId="22" fillId="30" borderId="9" applyNumberFormat="0" applyProtection="0">
      <alignment horizontal="left" vertical="top" indent="1"/>
    </xf>
    <xf numFmtId="4" fontId="26" fillId="40" borderId="0" applyNumberFormat="0" applyProtection="0">
      <alignment horizontal="left" vertical="center" indent="1"/>
    </xf>
    <xf numFmtId="4" fontId="27" fillId="36" borderId="9" applyNumberFormat="0" applyProtection="0">
      <alignment horizontal="right" vertical="center"/>
    </xf>
    <xf numFmtId="0" fontId="28" fillId="0" borderId="0" applyNumberFormat="0" applyFill="0" applyBorder="0" applyAlignment="0" applyProtection="0"/>
    <xf numFmtId="0" fontId="11" fillId="0" borderId="12" applyNumberFormat="0" applyFill="0" applyAlignment="0" applyProtection="0"/>
    <xf numFmtId="0" fontId="29" fillId="0" borderId="0" applyNumberFormat="0" applyFill="0" applyBorder="0" applyAlignment="0" applyProtection="0"/>
    <xf numFmtId="0" fontId="10" fillId="0" borderId="0"/>
    <xf numFmtId="0" fontId="30" fillId="0" borderId="0" applyNumberFormat="0" applyFill="0" applyBorder="0" applyAlignment="0" applyProtection="0">
      <alignment vertical="top"/>
      <protection locked="0"/>
    </xf>
    <xf numFmtId="0" fontId="57" fillId="0" borderId="0"/>
    <xf numFmtId="0" fontId="59" fillId="0" borderId="0" applyNumberFormat="0" applyFill="0" applyBorder="0" applyAlignment="0" applyProtection="0">
      <alignment vertical="top"/>
      <protection locked="0"/>
    </xf>
    <xf numFmtId="0" fontId="4" fillId="0" borderId="0"/>
    <xf numFmtId="0" fontId="61" fillId="0" borderId="0" applyNumberFormat="0" applyFill="0" applyBorder="0" applyAlignment="0" applyProtection="0">
      <alignment vertical="top"/>
      <protection locked="0"/>
    </xf>
    <xf numFmtId="0" fontId="10" fillId="0" borderId="0"/>
    <xf numFmtId="0" fontId="57" fillId="0" borderId="0"/>
    <xf numFmtId="0" fontId="10" fillId="0" borderId="0"/>
    <xf numFmtId="0" fontId="57" fillId="0" borderId="0"/>
    <xf numFmtId="0" fontId="3" fillId="0" borderId="0"/>
    <xf numFmtId="0" fontId="2" fillId="0" borderId="0"/>
    <xf numFmtId="0" fontId="2" fillId="0" borderId="0"/>
    <xf numFmtId="0" fontId="84" fillId="0" borderId="0" applyNumberFormat="0" applyFill="0" applyBorder="0" applyAlignment="0" applyProtection="0"/>
    <xf numFmtId="0" fontId="85" fillId="0" borderId="0"/>
    <xf numFmtId="164" fontId="85" fillId="0" borderId="0" applyFont="0" applyFill="0" applyBorder="0" applyAlignment="0" applyProtection="0"/>
    <xf numFmtId="0" fontId="86" fillId="0" borderId="60" applyNumberFormat="0" applyFill="0" applyAlignment="0" applyProtection="0"/>
    <xf numFmtId="0" fontId="87" fillId="0" borderId="61" applyNumberFormat="0" applyFill="0" applyAlignment="0" applyProtection="0"/>
    <xf numFmtId="0" fontId="53" fillId="0" borderId="62" applyNumberFormat="0" applyFill="0" applyAlignment="0" applyProtection="0"/>
    <xf numFmtId="0" fontId="53" fillId="0" borderId="0" applyNumberFormat="0" applyFill="0" applyBorder="0" applyAlignment="0" applyProtection="0"/>
    <xf numFmtId="0" fontId="88" fillId="67" borderId="0" applyNumberFormat="0" applyBorder="0" applyAlignment="0" applyProtection="0"/>
    <xf numFmtId="0" fontId="89" fillId="68" borderId="0" applyNumberFormat="0" applyBorder="0" applyAlignment="0" applyProtection="0"/>
    <xf numFmtId="0" fontId="90" fillId="69" borderId="0" applyNumberFormat="0" applyBorder="0" applyAlignment="0" applyProtection="0"/>
    <xf numFmtId="0" fontId="91" fillId="70" borderId="63" applyNumberFormat="0" applyAlignment="0" applyProtection="0"/>
    <xf numFmtId="0" fontId="92" fillId="71" borderId="64" applyNumberFormat="0" applyAlignment="0" applyProtection="0"/>
    <xf numFmtId="0" fontId="93" fillId="71" borderId="63" applyNumberFormat="0" applyAlignment="0" applyProtection="0"/>
    <xf numFmtId="0" fontId="94" fillId="0" borderId="65" applyNumberFormat="0" applyFill="0" applyAlignment="0" applyProtection="0"/>
    <xf numFmtId="0" fontId="95" fillId="72" borderId="66" applyNumberFormat="0" applyAlignment="0" applyProtection="0"/>
    <xf numFmtId="0" fontId="96" fillId="0" borderId="0" applyNumberFormat="0" applyFill="0" applyBorder="0" applyAlignment="0" applyProtection="0"/>
    <xf numFmtId="0" fontId="85" fillId="73" borderId="67" applyNumberFormat="0" applyFont="0" applyAlignment="0" applyProtection="0"/>
    <xf numFmtId="0" fontId="97" fillId="0" borderId="0" applyNumberFormat="0" applyFill="0" applyBorder="0" applyAlignment="0" applyProtection="0"/>
    <xf numFmtId="0" fontId="98" fillId="0" borderId="68" applyNumberFormat="0" applyFill="0" applyAlignment="0" applyProtection="0"/>
    <xf numFmtId="0" fontId="99" fillId="74"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99" fillId="75"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5" fillId="54" borderId="0" applyNumberFormat="0" applyBorder="0" applyAlignment="0" applyProtection="0"/>
    <xf numFmtId="0" fontId="99" fillId="76" borderId="0" applyNumberFormat="0" applyBorder="0" applyAlignment="0" applyProtection="0"/>
    <xf numFmtId="0" fontId="85" fillId="55" borderId="0" applyNumberFormat="0" applyBorder="0" applyAlignment="0" applyProtection="0"/>
    <xf numFmtId="0" fontId="85" fillId="56" borderId="0" applyNumberFormat="0" applyBorder="0" applyAlignment="0" applyProtection="0"/>
    <xf numFmtId="0" fontId="85" fillId="57" borderId="0" applyNumberFormat="0" applyBorder="0" applyAlignment="0" applyProtection="0"/>
    <xf numFmtId="0" fontId="99" fillId="77" borderId="0" applyNumberFormat="0" applyBorder="0" applyAlignment="0" applyProtection="0"/>
    <xf numFmtId="0" fontId="85" fillId="58" borderId="0" applyNumberFormat="0" applyBorder="0" applyAlignment="0" applyProtection="0"/>
    <xf numFmtId="0" fontId="85" fillId="59" borderId="0" applyNumberFormat="0" applyBorder="0" applyAlignment="0" applyProtection="0"/>
    <xf numFmtId="0" fontId="85" fillId="60" borderId="0" applyNumberFormat="0" applyBorder="0" applyAlignment="0" applyProtection="0"/>
    <xf numFmtId="0" fontId="99" fillId="78" borderId="0" applyNumberFormat="0" applyBorder="0" applyAlignment="0" applyProtection="0"/>
    <xf numFmtId="0" fontId="85" fillId="61" borderId="0" applyNumberFormat="0" applyBorder="0" applyAlignment="0" applyProtection="0"/>
    <xf numFmtId="0" fontId="85" fillId="62" borderId="0" applyNumberFormat="0" applyBorder="0" applyAlignment="0" applyProtection="0"/>
    <xf numFmtId="0" fontId="85" fillId="63" borderId="0" applyNumberFormat="0" applyBorder="0" applyAlignment="0" applyProtection="0"/>
    <xf numFmtId="0" fontId="99" fillId="79" borderId="0" applyNumberFormat="0" applyBorder="0" applyAlignment="0" applyProtection="0"/>
    <xf numFmtId="0" fontId="85" fillId="64" borderId="0" applyNumberFormat="0" applyBorder="0" applyAlignment="0" applyProtection="0"/>
    <xf numFmtId="0" fontId="85" fillId="65" borderId="0" applyNumberFormat="0" applyBorder="0" applyAlignment="0" applyProtection="0"/>
    <xf numFmtId="0" fontId="85" fillId="66" borderId="0" applyNumberFormat="0" applyBorder="0" applyAlignment="0" applyProtection="0"/>
    <xf numFmtId="43" fontId="108" fillId="0" borderId="0" applyFont="0" applyFill="0" applyBorder="0" applyAlignment="0" applyProtection="0"/>
    <xf numFmtId="43" fontId="10" fillId="0" borderId="0" applyFont="0" applyFill="0" applyBorder="0" applyAlignment="0" applyProtection="0"/>
    <xf numFmtId="9" fontId="1" fillId="0" borderId="0" applyFont="0" applyFill="0" applyBorder="0" applyAlignment="0" applyProtection="0"/>
  </cellStyleXfs>
  <cellXfs count="963">
    <xf numFmtId="0" fontId="0" fillId="0" borderId="0" xfId="0"/>
    <xf numFmtId="0" fontId="33" fillId="0" borderId="0" xfId="0" applyFont="1" applyAlignment="1" applyProtection="1">
      <alignment vertical="center"/>
      <protection hidden="1"/>
    </xf>
    <xf numFmtId="0" fontId="33" fillId="0" borderId="0" xfId="0" applyFont="1" applyProtection="1">
      <protection hidden="1"/>
    </xf>
    <xf numFmtId="0" fontId="33" fillId="0" borderId="0" xfId="0" applyFont="1" applyAlignment="1" applyProtection="1">
      <alignment horizontal="left" vertical="center"/>
      <protection hidden="1"/>
    </xf>
    <xf numFmtId="0" fontId="33" fillId="0" borderId="0" xfId="83" applyFont="1" applyAlignment="1" applyProtection="1">
      <alignment horizontal="left"/>
      <protection hidden="1"/>
    </xf>
    <xf numFmtId="0" fontId="37"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3" fillId="0" borderId="0" xfId="0" applyFont="1" applyAlignment="1" applyProtection="1">
      <alignment horizontal="center" vertical="center"/>
      <protection hidden="1"/>
    </xf>
    <xf numFmtId="9" fontId="33" fillId="0" borderId="0" xfId="0" applyNumberFormat="1" applyFont="1" applyAlignment="1" applyProtection="1">
      <alignment horizontal="left" vertical="center"/>
      <protection hidden="1"/>
    </xf>
    <xf numFmtId="0" fontId="33" fillId="0" borderId="0" xfId="83" applyFont="1" applyAlignment="1" applyProtection="1">
      <alignment horizontal="right"/>
      <protection hidden="1"/>
    </xf>
    <xf numFmtId="0" fontId="33" fillId="0" borderId="0" xfId="83" applyFont="1" applyAlignment="1" applyProtection="1">
      <alignment horizontal="center"/>
      <protection hidden="1"/>
    </xf>
    <xf numFmtId="0" fontId="31" fillId="0" borderId="0" xfId="0" applyFont="1" applyAlignment="1" applyProtection="1">
      <alignment horizontal="left" vertical="center"/>
      <protection hidden="1"/>
    </xf>
    <xf numFmtId="0" fontId="32" fillId="41" borderId="15" xfId="0" applyFont="1" applyFill="1" applyBorder="1" applyAlignment="1" applyProtection="1">
      <alignment horizontal="center" vertical="center"/>
      <protection hidden="1"/>
    </xf>
    <xf numFmtId="0" fontId="33" fillId="42" borderId="0" xfId="0" applyFont="1" applyFill="1" applyAlignment="1" applyProtection="1">
      <alignment horizontal="center" vertical="center"/>
      <protection hidden="1"/>
    </xf>
    <xf numFmtId="1" fontId="33" fillId="0" borderId="0" xfId="0" applyNumberFormat="1" applyFont="1" applyAlignment="1" applyProtection="1">
      <alignment horizontal="left" vertical="center"/>
      <protection hidden="1"/>
    </xf>
    <xf numFmtId="0" fontId="33" fillId="0" borderId="0" xfId="0" applyFont="1" applyAlignment="1" applyProtection="1">
      <alignment horizontal="left"/>
      <protection hidden="1"/>
    </xf>
    <xf numFmtId="0" fontId="40" fillId="0" borderId="19" xfId="0" applyFont="1" applyBorder="1" applyProtection="1">
      <protection hidden="1"/>
    </xf>
    <xf numFmtId="0" fontId="40" fillId="0" borderId="0" xfId="0" applyFont="1" applyProtection="1">
      <protection hidden="1"/>
    </xf>
    <xf numFmtId="0" fontId="44" fillId="0" borderId="0" xfId="0" applyFont="1" applyAlignment="1" applyProtection="1">
      <alignment horizontal="center"/>
      <protection hidden="1"/>
    </xf>
    <xf numFmtId="0" fontId="33" fillId="42" borderId="0" xfId="0" applyFont="1" applyFill="1" applyAlignment="1" applyProtection="1">
      <alignment horizontal="center" vertical="center" wrapText="1"/>
      <protection hidden="1"/>
    </xf>
    <xf numFmtId="0" fontId="33" fillId="41" borderId="14" xfId="0" applyFont="1" applyFill="1" applyBorder="1" applyAlignment="1" applyProtection="1">
      <alignment horizontal="center" vertical="center"/>
      <protection hidden="1"/>
    </xf>
    <xf numFmtId="0" fontId="33" fillId="0" borderId="0" xfId="89" applyFont="1" applyAlignment="1" applyProtection="1">
      <alignment vertical="center"/>
      <protection hidden="1"/>
    </xf>
    <xf numFmtId="0" fontId="33" fillId="0" borderId="0" xfId="90" applyFont="1" applyProtection="1">
      <protection hidden="1"/>
    </xf>
    <xf numFmtId="0" fontId="40" fillId="0" borderId="0" xfId="83" applyFont="1" applyAlignment="1" applyProtection="1">
      <alignment horizontal="left"/>
      <protection hidden="1"/>
    </xf>
    <xf numFmtId="4" fontId="33" fillId="0" borderId="0" xfId="0" applyNumberFormat="1" applyFont="1" applyProtection="1">
      <protection hidden="1"/>
    </xf>
    <xf numFmtId="0" fontId="50" fillId="0" borderId="0" xfId="83" applyFont="1" applyAlignment="1" applyProtection="1">
      <alignment horizontal="left"/>
      <protection hidden="1"/>
    </xf>
    <xf numFmtId="4" fontId="33" fillId="0" borderId="0" xfId="83" applyNumberFormat="1" applyFont="1" applyAlignment="1" applyProtection="1">
      <alignment horizontal="center"/>
      <protection hidden="1"/>
    </xf>
    <xf numFmtId="0" fontId="31" fillId="0" borderId="0" xfId="0" applyFont="1" applyProtection="1">
      <protection hidden="1"/>
    </xf>
    <xf numFmtId="0" fontId="36" fillId="0" borderId="0" xfId="0" applyFont="1" applyProtection="1">
      <protection hidden="1"/>
    </xf>
    <xf numFmtId="2" fontId="33" fillId="0" borderId="0" xfId="89" applyNumberFormat="1" applyFont="1" applyAlignment="1" applyProtection="1">
      <alignment horizontal="center"/>
      <protection hidden="1"/>
    </xf>
    <xf numFmtId="4" fontId="40" fillId="0" borderId="0" xfId="0" applyNumberFormat="1" applyFont="1" applyProtection="1">
      <protection hidden="1"/>
    </xf>
    <xf numFmtId="0" fontId="40" fillId="0" borderId="0" xfId="0" applyFont="1" applyAlignment="1" applyProtection="1">
      <alignment horizontal="left"/>
      <protection hidden="1"/>
    </xf>
    <xf numFmtId="0" fontId="10" fillId="0" borderId="0" xfId="83" applyAlignment="1" applyProtection="1">
      <alignment wrapText="1"/>
      <protection hidden="1"/>
    </xf>
    <xf numFmtId="0" fontId="33" fillId="0" borderId="0" xfId="92" applyFont="1" applyAlignment="1" applyProtection="1">
      <alignment vertical="center" wrapText="1"/>
      <protection hidden="1"/>
    </xf>
    <xf numFmtId="0" fontId="41" fillId="0" borderId="0" xfId="92" applyFont="1" applyAlignment="1" applyProtection="1">
      <alignment vertical="center" wrapText="1"/>
      <protection hidden="1"/>
    </xf>
    <xf numFmtId="0" fontId="36" fillId="0" borderId="0" xfId="83" applyFont="1" applyAlignment="1" applyProtection="1">
      <alignment vertical="center" wrapText="1"/>
      <protection hidden="1"/>
    </xf>
    <xf numFmtId="0" fontId="41" fillId="0" borderId="0" xfId="83" applyFont="1" applyAlignment="1" applyProtection="1">
      <alignment vertical="center" wrapText="1"/>
      <protection hidden="1"/>
    </xf>
    <xf numFmtId="0" fontId="40" fillId="0" borderId="0" xfId="83" applyFont="1" applyAlignment="1" applyProtection="1">
      <alignment vertical="center" wrapText="1"/>
      <protection hidden="1"/>
    </xf>
    <xf numFmtId="0" fontId="33" fillId="42" borderId="0" xfId="89" applyFont="1" applyFill="1" applyAlignment="1" applyProtection="1">
      <alignment horizontal="center" vertical="center" wrapText="1"/>
      <protection hidden="1"/>
    </xf>
    <xf numFmtId="0" fontId="56" fillId="0" borderId="0" xfId="83" applyFont="1" applyAlignment="1" applyProtection="1">
      <alignment vertical="center" wrapText="1"/>
      <protection hidden="1"/>
    </xf>
    <xf numFmtId="0" fontId="41" fillId="0" borderId="0" xfId="0" applyFont="1" applyProtection="1">
      <protection hidden="1"/>
    </xf>
    <xf numFmtId="4" fontId="33" fillId="0" borderId="0" xfId="0" applyNumberFormat="1" applyFont="1" applyAlignment="1" applyProtection="1">
      <alignment horizontal="right"/>
      <protection hidden="1"/>
    </xf>
    <xf numFmtId="0" fontId="32" fillId="41" borderId="11" xfId="0" applyFont="1" applyFill="1" applyBorder="1" applyAlignment="1" applyProtection="1">
      <alignment horizontal="center" vertical="center"/>
      <protection hidden="1"/>
    </xf>
    <xf numFmtId="0" fontId="33" fillId="0" borderId="0" xfId="0" applyFont="1" applyAlignment="1" applyProtection="1">
      <alignment wrapText="1"/>
      <protection hidden="1"/>
    </xf>
    <xf numFmtId="0" fontId="34" fillId="0" borderId="0" xfId="0" applyFont="1" applyProtection="1">
      <protection hidden="1"/>
    </xf>
    <xf numFmtId="0" fontId="33" fillId="0" borderId="0" xfId="89" applyFont="1" applyProtection="1">
      <protection hidden="1"/>
    </xf>
    <xf numFmtId="0" fontId="35" fillId="0" borderId="0" xfId="0" applyFont="1" applyProtection="1">
      <protection hidden="1"/>
    </xf>
    <xf numFmtId="0" fontId="51" fillId="0" borderId="0" xfId="0" applyFont="1" applyProtection="1">
      <protection hidden="1"/>
    </xf>
    <xf numFmtId="0" fontId="56" fillId="0" borderId="0" xfId="0" applyFont="1" applyAlignment="1" applyProtection="1">
      <alignment vertical="center" wrapText="1"/>
      <protection hidden="1"/>
    </xf>
    <xf numFmtId="0" fontId="40" fillId="0" borderId="0" xfId="0" applyFont="1" applyAlignment="1" applyProtection="1">
      <alignment vertical="center" wrapText="1"/>
      <protection hidden="1"/>
    </xf>
    <xf numFmtId="0" fontId="52" fillId="0" borderId="0" xfId="0" applyFont="1" applyAlignment="1" applyProtection="1">
      <alignment wrapText="1"/>
      <protection hidden="1"/>
    </xf>
    <xf numFmtId="0" fontId="33"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0" fontId="51" fillId="0" borderId="0" xfId="0" applyFont="1" applyAlignment="1" applyProtection="1">
      <alignment wrapText="1"/>
      <protection hidden="1"/>
    </xf>
    <xf numFmtId="0" fontId="41" fillId="0" borderId="0" xfId="0" applyFont="1" applyAlignment="1" applyProtection="1">
      <alignment wrapText="1"/>
      <protection hidden="1"/>
    </xf>
    <xf numFmtId="0" fontId="36" fillId="0" borderId="0" xfId="0" applyFont="1" applyAlignment="1" applyProtection="1">
      <alignment wrapText="1"/>
      <protection hidden="1"/>
    </xf>
    <xf numFmtId="0" fontId="66" fillId="0" borderId="0" xfId="93" applyFont="1" applyAlignment="1" applyProtection="1">
      <alignment vertical="center" wrapText="1"/>
      <protection hidden="1"/>
    </xf>
    <xf numFmtId="0" fontId="52" fillId="0" borderId="0" xfId="93" applyFont="1" applyAlignment="1" applyProtection="1">
      <alignment vertical="center" wrapText="1"/>
      <protection hidden="1"/>
    </xf>
    <xf numFmtId="0" fontId="33" fillId="0" borderId="0" xfId="83" applyFont="1" applyProtection="1">
      <protection hidden="1"/>
    </xf>
    <xf numFmtId="0" fontId="36" fillId="0" borderId="0" xfId="83" applyFont="1" applyProtection="1">
      <protection hidden="1"/>
    </xf>
    <xf numFmtId="0" fontId="57" fillId="0" borderId="0" xfId="85" applyProtection="1">
      <protection hidden="1"/>
    </xf>
    <xf numFmtId="0" fontId="34" fillId="0" borderId="0" xfId="83" applyFont="1" applyAlignment="1" applyProtection="1">
      <alignment horizontal="left"/>
      <protection hidden="1"/>
    </xf>
    <xf numFmtId="2" fontId="33"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40" fillId="0" borderId="0" xfId="83" applyFont="1" applyAlignment="1" applyProtection="1">
      <alignment vertical="center"/>
      <protection hidden="1"/>
    </xf>
    <xf numFmtId="0" fontId="56" fillId="0" borderId="0" xfId="0" applyFont="1" applyAlignment="1" applyProtection="1">
      <alignment wrapText="1"/>
      <protection hidden="1"/>
    </xf>
    <xf numFmtId="0" fontId="65" fillId="0" borderId="0" xfId="0" applyFont="1" applyProtection="1">
      <protection hidden="1"/>
    </xf>
    <xf numFmtId="0" fontId="52"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63" fillId="0" borderId="0" xfId="0" applyFont="1" applyAlignment="1" applyProtection="1">
      <alignment vertical="center" wrapText="1"/>
      <protection hidden="1"/>
    </xf>
    <xf numFmtId="0" fontId="68" fillId="0" borderId="0" xfId="0" applyFont="1" applyAlignment="1" applyProtection="1">
      <alignment wrapText="1"/>
      <protection hidden="1"/>
    </xf>
    <xf numFmtId="0" fontId="40" fillId="0" borderId="0" xfId="93" applyFont="1" applyAlignment="1" applyProtection="1">
      <alignment wrapText="1"/>
      <protection hidden="1"/>
    </xf>
    <xf numFmtId="0" fontId="56" fillId="0" borderId="0" xfId="93" applyFont="1" applyAlignment="1" applyProtection="1">
      <alignment wrapText="1"/>
      <protection hidden="1"/>
    </xf>
    <xf numFmtId="0" fontId="66" fillId="0" borderId="0" xfId="93" applyFont="1" applyAlignment="1" applyProtection="1">
      <alignment wrapText="1"/>
      <protection hidden="1"/>
    </xf>
    <xf numFmtId="0" fontId="40" fillId="0" borderId="0" xfId="83" applyFont="1" applyProtection="1">
      <protection hidden="1"/>
    </xf>
    <xf numFmtId="0" fontId="53" fillId="0" borderId="0" xfId="83" applyFont="1" applyAlignment="1" applyProtection="1">
      <alignment horizontal="center" vertical="center"/>
      <protection hidden="1"/>
    </xf>
    <xf numFmtId="0" fontId="42" fillId="0" borderId="0" xfId="83" applyFont="1" applyAlignment="1" applyProtection="1">
      <alignment horizontal="center" vertical="center"/>
      <protection hidden="1"/>
    </xf>
    <xf numFmtId="0" fontId="33" fillId="0" borderId="0" xfId="94" applyFont="1" applyAlignment="1" applyProtection="1">
      <alignment vertical="center"/>
      <protection hidden="1"/>
    </xf>
    <xf numFmtId="0" fontId="40" fillId="0" borderId="0" xfId="0" applyFont="1" applyAlignment="1" applyProtection="1">
      <alignment horizontal="right" vertical="center"/>
      <protection hidden="1"/>
    </xf>
    <xf numFmtId="0" fontId="32" fillId="0" borderId="0" xfId="0" applyFont="1" applyProtection="1">
      <protection hidden="1"/>
    </xf>
    <xf numFmtId="0" fontId="42" fillId="0" borderId="0" xfId="0" applyFont="1" applyProtection="1">
      <protection hidden="1"/>
    </xf>
    <xf numFmtId="0" fontId="42" fillId="0" borderId="0" xfId="0" applyFont="1" applyAlignment="1" applyProtection="1">
      <alignment vertical="center"/>
      <protection hidden="1"/>
    </xf>
    <xf numFmtId="0" fontId="45" fillId="0" borderId="0" xfId="0" applyFont="1" applyAlignment="1" applyProtection="1">
      <alignment horizontal="right"/>
      <protection hidden="1"/>
    </xf>
    <xf numFmtId="2" fontId="40" fillId="0" borderId="0" xfId="0" applyNumberFormat="1" applyFont="1" applyAlignment="1" applyProtection="1">
      <alignment horizontal="center"/>
      <protection hidden="1"/>
    </xf>
    <xf numFmtId="9" fontId="40" fillId="0" borderId="0" xfId="0" applyNumberFormat="1" applyFont="1" applyAlignment="1" applyProtection="1">
      <alignment horizontal="center"/>
      <protection hidden="1"/>
    </xf>
    <xf numFmtId="0" fontId="40" fillId="0" borderId="0" xfId="0" applyFont="1" applyAlignment="1" applyProtection="1">
      <alignment vertical="center"/>
      <protection hidden="1"/>
    </xf>
    <xf numFmtId="4" fontId="40" fillId="0" borderId="0" xfId="0" applyNumberFormat="1" applyFont="1" applyAlignment="1" applyProtection="1">
      <alignment horizontal="center"/>
      <protection hidden="1"/>
    </xf>
    <xf numFmtId="4" fontId="33" fillId="0" borderId="0" xfId="89" applyNumberFormat="1" applyFont="1" applyAlignment="1" applyProtection="1">
      <alignment horizontal="center"/>
      <protection hidden="1"/>
    </xf>
    <xf numFmtId="0" fontId="65" fillId="0" borderId="0" xfId="0" applyFont="1" applyAlignment="1" applyProtection="1">
      <alignment horizontal="center"/>
      <protection hidden="1"/>
    </xf>
    <xf numFmtId="0" fontId="71" fillId="0" borderId="0" xfId="84" applyFont="1" applyBorder="1" applyAlignment="1" applyProtection="1">
      <alignment horizontal="center" vertical="center"/>
      <protection hidden="1"/>
    </xf>
    <xf numFmtId="0" fontId="42" fillId="0" borderId="0" xfId="83" applyFont="1" applyProtection="1">
      <protection hidden="1"/>
    </xf>
    <xf numFmtId="0" fontId="42" fillId="0" borderId="0" xfId="83" applyFont="1" applyAlignment="1" applyProtection="1">
      <alignment vertical="center"/>
      <protection hidden="1"/>
    </xf>
    <xf numFmtId="0" fontId="67" fillId="0" borderId="0" xfId="83" applyFont="1" applyProtection="1">
      <protection hidden="1"/>
    </xf>
    <xf numFmtId="0" fontId="46" fillId="0" borderId="0" xfId="0" applyFont="1" applyAlignment="1" applyProtection="1">
      <alignment vertical="center"/>
      <protection hidden="1"/>
    </xf>
    <xf numFmtId="0" fontId="73" fillId="0" borderId="0" xfId="0" applyFont="1" applyAlignment="1" applyProtection="1">
      <alignment horizontal="left"/>
      <protection hidden="1"/>
    </xf>
    <xf numFmtId="4" fontId="33" fillId="0" borderId="0" xfId="0" applyNumberFormat="1" applyFont="1" applyAlignment="1" applyProtection="1">
      <alignment horizontal="center"/>
      <protection hidden="1"/>
    </xf>
    <xf numFmtId="0" fontId="36" fillId="0" borderId="0" xfId="0" quotePrefix="1" applyFont="1" applyAlignment="1" applyProtection="1">
      <alignment vertical="center" wrapText="1"/>
      <protection hidden="1"/>
    </xf>
    <xf numFmtId="0" fontId="41" fillId="0" borderId="0" xfId="0" quotePrefix="1" applyFont="1" applyAlignment="1" applyProtection="1">
      <alignment vertical="center" wrapText="1"/>
      <protection hidden="1"/>
    </xf>
    <xf numFmtId="0" fontId="33" fillId="0" borderId="0" xfId="0" quotePrefix="1" applyFont="1" applyAlignment="1" applyProtection="1">
      <alignment vertical="center" wrapText="1"/>
      <protection hidden="1"/>
    </xf>
    <xf numFmtId="0" fontId="51" fillId="0" borderId="0" xfId="83" quotePrefix="1" applyFont="1" applyAlignment="1" applyProtection="1">
      <alignment vertical="center" wrapText="1"/>
      <protection hidden="1"/>
    </xf>
    <xf numFmtId="0" fontId="40" fillId="0" borderId="22" xfId="83" applyFont="1" applyBorder="1" applyProtection="1">
      <protection hidden="1"/>
    </xf>
    <xf numFmtId="0" fontId="40" fillId="0" borderId="21" xfId="83" applyFont="1" applyBorder="1" applyAlignment="1" applyProtection="1">
      <alignment vertical="center"/>
      <protection hidden="1"/>
    </xf>
    <xf numFmtId="0" fontId="33" fillId="0" borderId="0" xfId="89" applyFont="1" applyAlignment="1" applyProtection="1">
      <alignment wrapText="1"/>
      <protection hidden="1"/>
    </xf>
    <xf numFmtId="0" fontId="41" fillId="0" borderId="0" xfId="89" applyFont="1" applyAlignment="1" applyProtection="1">
      <alignment wrapText="1"/>
      <protection hidden="1"/>
    </xf>
    <xf numFmtId="0" fontId="52" fillId="0" borderId="0" xfId="0" applyFont="1" applyProtection="1">
      <protection hidden="1"/>
    </xf>
    <xf numFmtId="0" fontId="48" fillId="0" borderId="0" xfId="83" applyFont="1" applyProtection="1">
      <protection hidden="1"/>
    </xf>
    <xf numFmtId="0" fontId="56" fillId="0" borderId="0" xfId="83" applyFont="1" applyProtection="1">
      <protection hidden="1"/>
    </xf>
    <xf numFmtId="0" fontId="52" fillId="0" borderId="0" xfId="83" applyFont="1" applyProtection="1">
      <protection hidden="1"/>
    </xf>
    <xf numFmtId="0" fontId="40" fillId="0" borderId="0" xfId="83" applyFont="1" applyAlignment="1" applyProtection="1">
      <alignment horizontal="left" vertical="center"/>
      <protection hidden="1"/>
    </xf>
    <xf numFmtId="0" fontId="33" fillId="0" borderId="0" xfId="0" applyFont="1" applyAlignment="1" applyProtection="1">
      <alignment horizontal="center"/>
      <protection hidden="1"/>
    </xf>
    <xf numFmtId="0" fontId="40" fillId="0" borderId="0" xfId="0" applyFont="1" applyAlignment="1" applyProtection="1">
      <alignment horizontal="right" vertical="top"/>
      <protection hidden="1"/>
    </xf>
    <xf numFmtId="0" fontId="41" fillId="0" borderId="0" xfId="0" applyFont="1" applyAlignment="1" applyProtection="1">
      <alignment vertical="top"/>
      <protection hidden="1"/>
    </xf>
    <xf numFmtId="0" fontId="33" fillId="0" borderId="0" xfId="0" applyFont="1" applyAlignment="1" applyProtection="1">
      <alignment vertical="top"/>
      <protection hidden="1"/>
    </xf>
    <xf numFmtId="0" fontId="51" fillId="0" borderId="0" xfId="0" applyFont="1" applyAlignment="1" applyProtection="1">
      <alignment vertical="top"/>
      <protection hidden="1"/>
    </xf>
    <xf numFmtId="0" fontId="40" fillId="0" borderId="0" xfId="83" applyFont="1" applyAlignment="1" applyProtection="1">
      <alignment horizontal="justify" vertical="center"/>
      <protection hidden="1"/>
    </xf>
    <xf numFmtId="0" fontId="40" fillId="0" borderId="17" xfId="83" applyFont="1" applyBorder="1" applyProtection="1">
      <protection hidden="1"/>
    </xf>
    <xf numFmtId="0" fontId="53" fillId="0" borderId="17" xfId="83" applyFont="1" applyBorder="1" applyAlignment="1" applyProtection="1">
      <alignment horizontal="center" vertical="center"/>
      <protection hidden="1"/>
    </xf>
    <xf numFmtId="0" fontId="40" fillId="0" borderId="0" xfId="83" applyFont="1" applyAlignment="1" applyProtection="1">
      <alignment vertical="top"/>
      <protection hidden="1"/>
    </xf>
    <xf numFmtId="0" fontId="40" fillId="0" borderId="16" xfId="83" applyFont="1" applyBorder="1" applyProtection="1">
      <protection hidden="1"/>
    </xf>
    <xf numFmtId="0" fontId="62" fillId="0" borderId="18" xfId="83" applyFont="1" applyBorder="1" applyProtection="1">
      <protection hidden="1"/>
    </xf>
    <xf numFmtId="0" fontId="40" fillId="0" borderId="19" xfId="83" applyFont="1" applyBorder="1" applyProtection="1">
      <protection hidden="1"/>
    </xf>
    <xf numFmtId="0" fontId="62" fillId="0" borderId="20" xfId="83" applyFont="1" applyBorder="1" applyProtection="1">
      <protection hidden="1"/>
    </xf>
    <xf numFmtId="0" fontId="40" fillId="0" borderId="24" xfId="83" applyFont="1" applyBorder="1" applyProtection="1">
      <protection hidden="1"/>
    </xf>
    <xf numFmtId="0" fontId="62" fillId="0" borderId="25" xfId="83" applyFont="1" applyBorder="1" applyProtection="1">
      <protection hidden="1"/>
    </xf>
    <xf numFmtId="0" fontId="40" fillId="0" borderId="29" xfId="83" applyFont="1" applyBorder="1" applyProtection="1">
      <protection hidden="1"/>
    </xf>
    <xf numFmtId="0" fontId="40" fillId="0" borderId="27" xfId="83" applyFont="1" applyBorder="1" applyProtection="1">
      <protection hidden="1"/>
    </xf>
    <xf numFmtId="0" fontId="62" fillId="0" borderId="30" xfId="83" applyFont="1" applyBorder="1" applyProtection="1">
      <protection hidden="1"/>
    </xf>
    <xf numFmtId="0" fontId="33" fillId="0" borderId="45" xfId="0" applyFont="1" applyBorder="1" applyAlignment="1" applyProtection="1">
      <alignment vertical="center"/>
      <protection hidden="1"/>
    </xf>
    <xf numFmtId="0" fontId="32" fillId="0" borderId="0" xfId="0" applyFont="1" applyAlignment="1" applyProtection="1">
      <alignment horizontal="center" vertical="center"/>
      <protection hidden="1"/>
    </xf>
    <xf numFmtId="0" fontId="33" fillId="0" borderId="0" xfId="92" applyFont="1" applyAlignment="1" applyProtection="1">
      <alignment vertical="center"/>
      <protection hidden="1"/>
    </xf>
    <xf numFmtId="0" fontId="55" fillId="0" borderId="0" xfId="0" applyFont="1" applyAlignment="1" applyProtection="1">
      <alignment vertical="center"/>
      <protection hidden="1"/>
    </xf>
    <xf numFmtId="0" fontId="40" fillId="0" borderId="0" xfId="0" applyFont="1" applyAlignment="1" applyProtection="1">
      <alignment horizontal="justify" vertical="center"/>
      <protection hidden="1"/>
    </xf>
    <xf numFmtId="0" fontId="40" fillId="0" borderId="0" xfId="0" applyFont="1" applyAlignment="1" applyProtection="1">
      <alignment horizontal="left" vertical="center"/>
      <protection hidden="1"/>
    </xf>
    <xf numFmtId="0" fontId="33" fillId="42" borderId="45" xfId="0" applyFont="1" applyFill="1" applyBorder="1" applyAlignment="1" applyProtection="1">
      <alignment horizontal="center" vertical="center"/>
      <protection hidden="1"/>
    </xf>
    <xf numFmtId="0" fontId="42" fillId="0" borderId="0" xfId="83" applyFont="1" applyAlignment="1" applyProtection="1">
      <alignment horizontal="left" vertical="center"/>
      <protection hidden="1"/>
    </xf>
    <xf numFmtId="0" fontId="33" fillId="42" borderId="15" xfId="0" applyFont="1" applyFill="1" applyBorder="1" applyAlignment="1" applyProtection="1">
      <alignment horizontal="center" vertical="center"/>
      <protection hidden="1"/>
    </xf>
    <xf numFmtId="0" fontId="74" fillId="0" borderId="0" xfId="0" applyFont="1" applyAlignment="1" applyProtection="1">
      <alignment horizontal="center"/>
      <protection hidden="1"/>
    </xf>
    <xf numFmtId="0" fontId="76" fillId="0" borderId="0" xfId="84" applyFont="1" applyFill="1" applyBorder="1" applyAlignment="1" applyProtection="1">
      <alignment horizontal="center" vertical="center"/>
      <protection hidden="1"/>
    </xf>
    <xf numFmtId="0" fontId="77" fillId="0" borderId="0" xfId="0" applyFont="1" applyProtection="1">
      <protection hidden="1"/>
    </xf>
    <xf numFmtId="0" fontId="33" fillId="0" borderId="45" xfId="0" applyFont="1" applyBorder="1" applyProtection="1">
      <protection hidden="1"/>
    </xf>
    <xf numFmtId="0" fontId="54" fillId="0" borderId="0" xfId="89" applyFont="1" applyAlignment="1" applyProtection="1">
      <alignment horizontal="center" vertical="center"/>
      <protection hidden="1"/>
    </xf>
    <xf numFmtId="0" fontId="33" fillId="46" borderId="45" xfId="89" applyFont="1" applyFill="1" applyBorder="1" applyAlignment="1" applyProtection="1">
      <alignment vertical="center"/>
      <protection hidden="1"/>
    </xf>
    <xf numFmtId="0" fontId="33" fillId="46" borderId="45" xfId="0" applyFont="1" applyFill="1" applyBorder="1" applyAlignment="1" applyProtection="1">
      <alignment vertical="center"/>
      <protection hidden="1"/>
    </xf>
    <xf numFmtId="0" fontId="33" fillId="45" borderId="45" xfId="89" applyFont="1" applyFill="1" applyBorder="1" applyAlignment="1" applyProtection="1">
      <alignment vertical="center"/>
      <protection hidden="1"/>
    </xf>
    <xf numFmtId="0" fontId="33" fillId="45" borderId="46" xfId="89" applyFont="1" applyFill="1" applyBorder="1" applyAlignment="1" applyProtection="1">
      <alignment vertical="center"/>
      <protection hidden="1"/>
    </xf>
    <xf numFmtId="0" fontId="65" fillId="0" borderId="0" xfId="0" applyFont="1" applyAlignment="1" applyProtection="1">
      <alignment vertical="center"/>
      <protection hidden="1"/>
    </xf>
    <xf numFmtId="0" fontId="54" fillId="0" borderId="0" xfId="89" applyFont="1" applyAlignment="1" applyProtection="1">
      <alignment horizontal="center"/>
      <protection hidden="1"/>
    </xf>
    <xf numFmtId="2" fontId="36" fillId="0" borderId="0" xfId="0" applyNumberFormat="1" applyFont="1" applyAlignment="1" applyProtection="1">
      <alignment horizontal="center"/>
      <protection hidden="1"/>
    </xf>
    <xf numFmtId="3" fontId="74" fillId="0" borderId="0" xfId="0" applyNumberFormat="1" applyFont="1" applyAlignment="1" applyProtection="1">
      <alignment horizontal="center"/>
      <protection hidden="1"/>
    </xf>
    <xf numFmtId="0" fontId="54" fillId="0" borderId="0" xfId="89" applyFont="1" applyProtection="1">
      <protection hidden="1"/>
    </xf>
    <xf numFmtId="0" fontId="33" fillId="0" borderId="45" xfId="83" applyFont="1" applyBorder="1" applyAlignment="1" applyProtection="1">
      <alignment wrapText="1"/>
      <protection hidden="1"/>
    </xf>
    <xf numFmtId="0" fontId="33" fillId="0" borderId="45" xfId="83" applyFont="1" applyBorder="1" applyProtection="1">
      <protection hidden="1"/>
    </xf>
    <xf numFmtId="0" fontId="41" fillId="0" borderId="45" xfId="83" applyFont="1" applyBorder="1" applyProtection="1">
      <protection hidden="1"/>
    </xf>
    <xf numFmtId="0" fontId="41" fillId="0" borderId="45" xfId="0" applyFont="1" applyBorder="1" applyProtection="1">
      <protection hidden="1"/>
    </xf>
    <xf numFmtId="0" fontId="51" fillId="0" borderId="45" xfId="83" applyFont="1" applyBorder="1" applyProtection="1">
      <protection hidden="1"/>
    </xf>
    <xf numFmtId="0" fontId="51" fillId="0" borderId="46" xfId="0" applyFont="1" applyBorder="1" applyProtection="1">
      <protection hidden="1"/>
    </xf>
    <xf numFmtId="0" fontId="70" fillId="0" borderId="0" xfId="0" applyFont="1" applyAlignment="1" applyProtection="1">
      <alignment vertical="center" wrapText="1"/>
      <protection hidden="1"/>
    </xf>
    <xf numFmtId="0" fontId="63" fillId="0" borderId="0" xfId="0" applyFont="1" applyAlignment="1" applyProtection="1">
      <alignment wrapText="1"/>
      <protection hidden="1"/>
    </xf>
    <xf numFmtId="0" fontId="36" fillId="0" borderId="0" xfId="0" applyFont="1" applyAlignment="1" applyProtection="1">
      <alignment vertical="center"/>
      <protection hidden="1"/>
    </xf>
    <xf numFmtId="0" fontId="81" fillId="0" borderId="0" xfId="0" applyFont="1" applyAlignment="1" applyProtection="1">
      <alignment horizontal="center"/>
      <protection hidden="1"/>
    </xf>
    <xf numFmtId="3" fontId="81" fillId="0" borderId="0" xfId="0" applyNumberFormat="1" applyFont="1" applyAlignment="1" applyProtection="1">
      <alignment horizontal="center"/>
      <protection hidden="1"/>
    </xf>
    <xf numFmtId="0" fontId="82" fillId="0" borderId="0" xfId="0" applyFont="1" applyAlignment="1" applyProtection="1">
      <alignment horizontal="center"/>
      <protection hidden="1"/>
    </xf>
    <xf numFmtId="0" fontId="34" fillId="0" borderId="0" xfId="0" applyFont="1" applyAlignment="1" applyProtection="1">
      <alignment horizontal="left"/>
      <protection hidden="1"/>
    </xf>
    <xf numFmtId="3" fontId="82" fillId="0" borderId="0" xfId="0" applyNumberFormat="1" applyFont="1" applyAlignment="1" applyProtection="1">
      <alignment horizontal="center"/>
      <protection hidden="1"/>
    </xf>
    <xf numFmtId="0" fontId="82" fillId="0" borderId="0" xfId="89" applyFont="1" applyAlignment="1" applyProtection="1">
      <alignment horizontal="center"/>
      <protection hidden="1"/>
    </xf>
    <xf numFmtId="167" fontId="82" fillId="0" borderId="0" xfId="83" applyNumberFormat="1" applyFont="1" applyAlignment="1" applyProtection="1">
      <alignment horizontal="center"/>
      <protection hidden="1"/>
    </xf>
    <xf numFmtId="0" fontId="82" fillId="0" borderId="0" xfId="89" applyFont="1" applyAlignment="1" applyProtection="1">
      <alignment horizontal="center" vertical="center"/>
      <protection hidden="1"/>
    </xf>
    <xf numFmtId="0" fontId="82" fillId="0" borderId="0" xfId="89" applyFont="1" applyAlignment="1" applyProtection="1">
      <alignment horizontal="right" vertical="center"/>
      <protection hidden="1"/>
    </xf>
    <xf numFmtId="3" fontId="82" fillId="0" borderId="0" xfId="89" applyNumberFormat="1" applyFont="1" applyAlignment="1" applyProtection="1">
      <alignment horizontal="center"/>
      <protection hidden="1"/>
    </xf>
    <xf numFmtId="0" fontId="51" fillId="0" borderId="0" xfId="95" applyFont="1" applyAlignment="1" applyProtection="1">
      <alignment vertical="center"/>
      <protection hidden="1"/>
    </xf>
    <xf numFmtId="0" fontId="40" fillId="0" borderId="0" xfId="83" applyFont="1" applyAlignment="1" applyProtection="1">
      <alignment horizontal="justify" vertical="top"/>
      <protection hidden="1"/>
    </xf>
    <xf numFmtId="0" fontId="70" fillId="0" borderId="0" xfId="95" applyFont="1" applyAlignment="1" applyProtection="1">
      <alignment vertical="center" wrapText="1"/>
      <protection hidden="1"/>
    </xf>
    <xf numFmtId="166" fontId="33" fillId="0" borderId="0" xfId="0" applyNumberFormat="1" applyFont="1" applyAlignment="1" applyProtection="1">
      <alignment horizontal="left"/>
      <protection hidden="1"/>
    </xf>
    <xf numFmtId="0" fontId="42" fillId="0" borderId="22" xfId="83" applyFont="1" applyBorder="1" applyAlignment="1" applyProtection="1">
      <alignment horizontal="center" vertical="center"/>
      <protection hidden="1"/>
    </xf>
    <xf numFmtId="0" fontId="42" fillId="0" borderId="0" xfId="0" applyFont="1" applyAlignment="1" applyProtection="1">
      <alignment horizontal="left"/>
      <protection hidden="1"/>
    </xf>
    <xf numFmtId="0" fontId="42" fillId="0" borderId="0" xfId="0" applyFont="1" applyAlignment="1" applyProtection="1">
      <alignment vertical="center" wrapText="1"/>
      <protection hidden="1"/>
    </xf>
    <xf numFmtId="0" fontId="33" fillId="0" borderId="0" xfId="83" applyFont="1" applyAlignment="1" applyProtection="1">
      <alignment vertical="center" wrapText="1"/>
      <protection hidden="1"/>
    </xf>
    <xf numFmtId="0" fontId="45" fillId="0" borderId="0" xfId="0" applyFont="1" applyAlignment="1" applyProtection="1">
      <alignment horizontal="center"/>
      <protection hidden="1"/>
    </xf>
    <xf numFmtId="16" fontId="40" fillId="0" borderId="0" xfId="0" quotePrefix="1" applyNumberFormat="1" applyFont="1" applyProtection="1">
      <protection hidden="1"/>
    </xf>
    <xf numFmtId="0" fontId="100" fillId="0" borderId="0" xfId="0" applyFont="1" applyProtection="1">
      <protection hidden="1"/>
    </xf>
    <xf numFmtId="0" fontId="33" fillId="0" borderId="0" xfId="0" applyFont="1" applyAlignment="1" applyProtection="1">
      <alignment vertical="center"/>
      <protection locked="0" hidden="1"/>
    </xf>
    <xf numFmtId="0" fontId="54" fillId="0" borderId="0" xfId="0" applyFont="1" applyAlignment="1" applyProtection="1">
      <alignment horizontal="center" vertical="center"/>
      <protection locked="0" hidden="1"/>
    </xf>
    <xf numFmtId="0" fontId="34" fillId="0" borderId="0" xfId="0" applyFont="1" applyProtection="1">
      <protection locked="0" hidden="1"/>
    </xf>
    <xf numFmtId="0" fontId="33" fillId="0" borderId="0" xfId="83" applyFont="1" applyAlignment="1" applyProtection="1">
      <alignment horizontal="center" vertical="center" wrapText="1"/>
      <protection locked="0" hidden="1"/>
    </xf>
    <xf numFmtId="4" fontId="33" fillId="0" borderId="0" xfId="89" applyNumberFormat="1" applyFont="1" applyAlignment="1" applyProtection="1">
      <alignment horizontal="center" vertical="center"/>
      <protection hidden="1"/>
    </xf>
    <xf numFmtId="4" fontId="102" fillId="0" borderId="0" xfId="0" applyNumberFormat="1" applyFont="1" applyProtection="1">
      <protection hidden="1"/>
    </xf>
    <xf numFmtId="0" fontId="51" fillId="0" borderId="0" xfId="0" applyFont="1" applyAlignment="1" applyProtection="1">
      <alignment horizontal="left" vertical="center" wrapText="1"/>
      <protection hidden="1"/>
    </xf>
    <xf numFmtId="0" fontId="106" fillId="0" borderId="0" xfId="0" applyFont="1"/>
    <xf numFmtId="0" fontId="33" fillId="0" borderId="0" xfId="0" applyFont="1"/>
    <xf numFmtId="0" fontId="44" fillId="0" borderId="84" xfId="0" applyFont="1" applyBorder="1" applyAlignment="1" applyProtection="1">
      <alignment horizontal="center"/>
      <protection locked="0" hidden="1"/>
    </xf>
    <xf numFmtId="3" fontId="44" fillId="0" borderId="84" xfId="0" applyNumberFormat="1" applyFont="1" applyBorder="1" applyAlignment="1" applyProtection="1">
      <alignment horizontal="center"/>
      <protection locked="0" hidden="1"/>
    </xf>
    <xf numFmtId="3" fontId="64" fillId="0" borderId="84" xfId="0" applyNumberFormat="1" applyFont="1" applyBorder="1" applyAlignment="1" applyProtection="1">
      <alignment horizontal="center"/>
      <protection locked="0" hidden="1"/>
    </xf>
    <xf numFmtId="1" fontId="64" fillId="0" borderId="84" xfId="0" applyNumberFormat="1" applyFont="1" applyBorder="1" applyAlignment="1" applyProtection="1">
      <alignment horizontal="center"/>
      <protection locked="0" hidden="1"/>
    </xf>
    <xf numFmtId="1" fontId="44" fillId="0" borderId="84" xfId="0" applyNumberFormat="1" applyFont="1" applyBorder="1" applyAlignment="1" applyProtection="1">
      <alignment horizontal="center"/>
      <protection locked="0" hidden="1"/>
    </xf>
    <xf numFmtId="0" fontId="33" fillId="0" borderId="0" xfId="90" applyFont="1" applyAlignment="1" applyProtection="1">
      <alignment horizontal="left" vertical="center"/>
      <protection hidden="1"/>
    </xf>
    <xf numFmtId="0" fontId="40" fillId="0" borderId="19" xfId="83" applyFont="1" applyBorder="1" applyAlignment="1" applyProtection="1">
      <alignment vertical="center"/>
      <protection hidden="1"/>
    </xf>
    <xf numFmtId="0" fontId="62" fillId="0" borderId="20" xfId="83" applyFont="1" applyBorder="1" applyAlignment="1" applyProtection="1">
      <alignment vertical="center"/>
      <protection hidden="1"/>
    </xf>
    <xf numFmtId="0" fontId="77" fillId="0" borderId="47" xfId="84" applyFont="1" applyFill="1" applyBorder="1" applyAlignment="1" applyProtection="1">
      <alignment vertical="center"/>
      <protection hidden="1"/>
    </xf>
    <xf numFmtId="0" fontId="43" fillId="0" borderId="0" xfId="84" applyFont="1" applyFill="1" applyBorder="1" applyAlignment="1" applyProtection="1">
      <alignment vertical="center"/>
      <protection hidden="1"/>
    </xf>
    <xf numFmtId="3" fontId="33" fillId="0" borderId="0" xfId="0" applyNumberFormat="1" applyFont="1" applyProtection="1">
      <protection hidden="1"/>
    </xf>
    <xf numFmtId="3" fontId="33" fillId="0" borderId="0" xfId="0" applyNumberFormat="1" applyFont="1" applyAlignment="1" applyProtection="1">
      <alignment horizontal="left"/>
      <protection hidden="1"/>
    </xf>
    <xf numFmtId="9" fontId="33" fillId="0" borderId="0" xfId="0" applyNumberFormat="1" applyFont="1" applyAlignment="1" applyProtection="1">
      <alignment horizontal="left"/>
      <protection hidden="1"/>
    </xf>
    <xf numFmtId="0" fontId="107" fillId="0" borderId="53" xfId="83" applyFont="1" applyBorder="1" applyAlignment="1" applyProtection="1">
      <alignment horizontal="center" vertical="center"/>
      <protection hidden="1"/>
    </xf>
    <xf numFmtId="0" fontId="40" fillId="0" borderId="31" xfId="83" applyFont="1" applyBorder="1" applyProtection="1">
      <protection hidden="1"/>
    </xf>
    <xf numFmtId="0" fontId="40" fillId="0" borderId="32" xfId="83" applyFont="1" applyBorder="1" applyProtection="1">
      <protection hidden="1"/>
    </xf>
    <xf numFmtId="0" fontId="40" fillId="0" borderId="32" xfId="83" applyFont="1" applyBorder="1" applyAlignment="1" applyProtection="1">
      <alignment vertical="center"/>
      <protection hidden="1"/>
    </xf>
    <xf numFmtId="0" fontId="62" fillId="0" borderId="33" xfId="83" applyFont="1" applyBorder="1" applyProtection="1">
      <protection hidden="1"/>
    </xf>
    <xf numFmtId="0" fontId="40" fillId="0" borderId="57" xfId="83" applyFont="1" applyBorder="1" applyProtection="1">
      <protection hidden="1"/>
    </xf>
    <xf numFmtId="0" fontId="40" fillId="0" borderId="58" xfId="83" applyFont="1" applyBorder="1" applyProtection="1">
      <protection hidden="1"/>
    </xf>
    <xf numFmtId="0" fontId="40" fillId="0" borderId="58" xfId="83" applyFont="1" applyBorder="1" applyAlignment="1" applyProtection="1">
      <alignment vertical="center"/>
      <protection hidden="1"/>
    </xf>
    <xf numFmtId="0" fontId="62" fillId="0" borderId="59" xfId="83" applyFont="1" applyBorder="1" applyProtection="1">
      <protection hidden="1"/>
    </xf>
    <xf numFmtId="0" fontId="33" fillId="0" borderId="0" xfId="90" applyFont="1" applyAlignment="1" applyProtection="1">
      <alignment vertical="center"/>
      <protection hidden="1"/>
    </xf>
    <xf numFmtId="0" fontId="2" fillId="0" borderId="0" xfId="90" applyFont="1" applyAlignment="1" applyProtection="1">
      <alignment vertical="center"/>
      <protection hidden="1"/>
    </xf>
    <xf numFmtId="0" fontId="33" fillId="0" borderId="0" xfId="90" applyFont="1" applyAlignment="1" applyProtection="1">
      <alignment horizontal="left" vertical="center" readingOrder="1"/>
      <protection hidden="1"/>
    </xf>
    <xf numFmtId="0" fontId="40" fillId="0" borderId="0" xfId="90" applyFont="1" applyAlignment="1" applyProtection="1">
      <alignment horizontal="left" vertical="center" readingOrder="1"/>
      <protection hidden="1"/>
    </xf>
    <xf numFmtId="0" fontId="40" fillId="0" borderId="0" xfId="90" applyFont="1" applyProtection="1">
      <protection hidden="1"/>
    </xf>
    <xf numFmtId="0" fontId="33" fillId="0" borderId="0" xfId="90" applyFont="1" applyAlignment="1" applyProtection="1">
      <alignment horizontal="center"/>
      <protection hidden="1"/>
    </xf>
    <xf numFmtId="0" fontId="33" fillId="0" borderId="0" xfId="90" applyFont="1" applyAlignment="1" applyProtection="1">
      <alignment horizontal="left"/>
      <protection hidden="1"/>
    </xf>
    <xf numFmtId="0" fontId="36" fillId="0" borderId="0" xfId="90" applyFont="1" applyAlignment="1" applyProtection="1">
      <alignment vertical="center"/>
      <protection hidden="1"/>
    </xf>
    <xf numFmtId="0" fontId="33" fillId="0" borderId="70" xfId="90" applyFont="1" applyBorder="1" applyProtection="1">
      <protection hidden="1"/>
    </xf>
    <xf numFmtId="0" fontId="50" fillId="0" borderId="73" xfId="90" applyFont="1" applyBorder="1" applyAlignment="1" applyProtection="1">
      <alignment horizontal="center"/>
      <protection hidden="1"/>
    </xf>
    <xf numFmtId="0" fontId="33" fillId="0" borderId="73" xfId="90" applyFont="1" applyBorder="1" applyAlignment="1" applyProtection="1">
      <alignment horizontal="center"/>
      <protection hidden="1"/>
    </xf>
    <xf numFmtId="0" fontId="33" fillId="0" borderId="73" xfId="90" applyFont="1" applyBorder="1" applyAlignment="1" applyProtection="1">
      <alignment horizontal="right"/>
      <protection hidden="1"/>
    </xf>
    <xf numFmtId="0" fontId="79" fillId="0" borderId="0" xfId="0" applyFont="1"/>
    <xf numFmtId="0" fontId="33" fillId="0" borderId="70" xfId="90" applyFont="1" applyBorder="1" applyAlignment="1" applyProtection="1">
      <alignment horizontal="right"/>
      <protection hidden="1"/>
    </xf>
    <xf numFmtId="0" fontId="33" fillId="0" borderId="89" xfId="90" applyFont="1" applyBorder="1" applyProtection="1">
      <protection hidden="1"/>
    </xf>
    <xf numFmtId="0" fontId="33" fillId="42" borderId="46" xfId="0" applyFont="1" applyFill="1" applyBorder="1" applyAlignment="1" applyProtection="1">
      <alignment horizontal="center" vertical="center"/>
      <protection hidden="1"/>
    </xf>
    <xf numFmtId="0" fontId="40" fillId="0" borderId="32" xfId="0" applyFont="1" applyBorder="1" applyProtection="1">
      <protection hidden="1"/>
    </xf>
    <xf numFmtId="0" fontId="40" fillId="0" borderId="58" xfId="0" applyFont="1" applyBorder="1" applyProtection="1">
      <protection hidden="1"/>
    </xf>
    <xf numFmtId="0" fontId="65" fillId="0" borderId="58" xfId="0" applyFont="1" applyBorder="1" applyProtection="1">
      <protection hidden="1"/>
    </xf>
    <xf numFmtId="0" fontId="40" fillId="0" borderId="58" xfId="0" applyFont="1" applyBorder="1" applyAlignment="1" applyProtection="1">
      <alignment horizontal="right"/>
      <protection hidden="1"/>
    </xf>
    <xf numFmtId="0" fontId="81" fillId="0" borderId="58" xfId="0" applyFont="1" applyBorder="1" applyAlignment="1" applyProtection="1">
      <alignment horizontal="center"/>
      <protection hidden="1"/>
    </xf>
    <xf numFmtId="0" fontId="65" fillId="0" borderId="32" xfId="0" applyFont="1" applyBorder="1" applyProtection="1">
      <protection hidden="1"/>
    </xf>
    <xf numFmtId="0" fontId="103" fillId="0" borderId="0" xfId="0" applyFont="1" applyAlignment="1" applyProtection="1">
      <alignment horizontal="center"/>
      <protection hidden="1"/>
    </xf>
    <xf numFmtId="0" fontId="45" fillId="0" borderId="32" xfId="0" applyFont="1" applyBorder="1" applyAlignment="1" applyProtection="1">
      <alignment horizontal="right"/>
      <protection hidden="1"/>
    </xf>
    <xf numFmtId="0" fontId="33" fillId="42" borderId="0" xfId="90" applyFont="1" applyFill="1" applyAlignment="1" applyProtection="1">
      <alignment horizontal="center"/>
      <protection hidden="1"/>
    </xf>
    <xf numFmtId="0" fontId="33" fillId="0" borderId="0" xfId="90" applyFont="1" applyAlignment="1" applyProtection="1">
      <alignment horizontal="right"/>
      <protection hidden="1"/>
    </xf>
    <xf numFmtId="0" fontId="40" fillId="0" borderId="97" xfId="0" applyFont="1" applyBorder="1" applyProtection="1">
      <protection hidden="1"/>
    </xf>
    <xf numFmtId="0" fontId="65" fillId="0" borderId="98" xfId="0" applyFont="1" applyBorder="1" applyProtection="1">
      <protection hidden="1"/>
    </xf>
    <xf numFmtId="0" fontId="105" fillId="0" borderId="100" xfId="0" applyFont="1" applyBorder="1" applyProtection="1">
      <protection hidden="1"/>
    </xf>
    <xf numFmtId="0" fontId="40" fillId="0" borderId="99" xfId="0" applyFont="1" applyBorder="1" applyProtection="1">
      <protection hidden="1"/>
    </xf>
    <xf numFmtId="0" fontId="40" fillId="0" borderId="100" xfId="0" applyFont="1" applyBorder="1" applyProtection="1">
      <protection hidden="1"/>
    </xf>
    <xf numFmtId="0" fontId="39" fillId="0" borderId="0" xfId="83" applyFont="1" applyAlignment="1" applyProtection="1">
      <alignment horizontal="right"/>
      <protection hidden="1"/>
    </xf>
    <xf numFmtId="0" fontId="40" fillId="0" borderId="0" xfId="84" applyFont="1" applyFill="1" applyBorder="1" applyAlignment="1" applyProtection="1">
      <alignment vertical="center"/>
      <protection hidden="1"/>
    </xf>
    <xf numFmtId="0" fontId="40" fillId="0" borderId="100" xfId="84" applyFont="1" applyFill="1" applyBorder="1" applyAlignment="1" applyProtection="1">
      <alignment vertical="center"/>
      <protection hidden="1"/>
    </xf>
    <xf numFmtId="0" fontId="78" fillId="0" borderId="0" xfId="0" applyFont="1" applyProtection="1">
      <protection hidden="1"/>
    </xf>
    <xf numFmtId="0" fontId="40" fillId="0" borderId="98" xfId="0" applyFont="1" applyBorder="1" applyProtection="1">
      <protection hidden="1"/>
    </xf>
    <xf numFmtId="0" fontId="46" fillId="0" borderId="0" xfId="0" applyFont="1" applyAlignment="1" applyProtection="1">
      <alignment horizontal="center" vertical="center"/>
      <protection hidden="1"/>
    </xf>
    <xf numFmtId="0" fontId="40" fillId="0" borderId="0" xfId="0" applyFont="1" applyAlignment="1" applyProtection="1">
      <alignment horizontal="center"/>
      <protection hidden="1"/>
    </xf>
    <xf numFmtId="0" fontId="110" fillId="46" borderId="0" xfId="84" applyFont="1" applyFill="1" applyBorder="1" applyAlignment="1" applyProtection="1">
      <alignment horizontal="center" vertical="center"/>
      <protection locked="0" hidden="1"/>
    </xf>
    <xf numFmtId="0" fontId="46" fillId="0" borderId="0" xfId="0" applyFont="1" applyAlignment="1" applyProtection="1">
      <alignment horizontal="center"/>
      <protection hidden="1"/>
    </xf>
    <xf numFmtId="0" fontId="40" fillId="0" borderId="0" xfId="0" applyFont="1" applyAlignment="1" applyProtection="1">
      <alignment horizontal="right"/>
      <protection hidden="1"/>
    </xf>
    <xf numFmtId="0" fontId="42" fillId="0" borderId="0" xfId="0" applyFont="1" applyAlignment="1" applyProtection="1">
      <alignment horizontal="right"/>
      <protection hidden="1"/>
    </xf>
    <xf numFmtId="0" fontId="42" fillId="0" borderId="0" xfId="0" applyFont="1" applyAlignment="1" applyProtection="1">
      <alignment horizontal="center"/>
      <protection hidden="1"/>
    </xf>
    <xf numFmtId="0" fontId="77" fillId="0" borderId="16" xfId="0" applyFont="1" applyBorder="1" applyProtection="1">
      <protection hidden="1"/>
    </xf>
    <xf numFmtId="0" fontId="40" fillId="0" borderId="17" xfId="0" applyFont="1" applyBorder="1" applyProtection="1">
      <protection hidden="1"/>
    </xf>
    <xf numFmtId="0" fontId="77" fillId="0" borderId="19" xfId="0" applyFont="1" applyBorder="1" applyProtection="1">
      <protection hidden="1"/>
    </xf>
    <xf numFmtId="0" fontId="40" fillId="0" borderId="20" xfId="0" applyFont="1" applyBorder="1" applyProtection="1">
      <protection hidden="1"/>
    </xf>
    <xf numFmtId="0" fontId="77" fillId="0" borderId="57" xfId="0" applyFont="1" applyBorder="1" applyProtection="1">
      <protection hidden="1"/>
    </xf>
    <xf numFmtId="0" fontId="40" fillId="0" borderId="59" xfId="0" applyFont="1" applyBorder="1" applyProtection="1">
      <protection hidden="1"/>
    </xf>
    <xf numFmtId="0" fontId="77" fillId="0" borderId="31" xfId="0" applyFont="1" applyBorder="1" applyProtection="1">
      <protection hidden="1"/>
    </xf>
    <xf numFmtId="0" fontId="40" fillId="0" borderId="33" xfId="0" applyFont="1" applyBorder="1" applyProtection="1">
      <protection hidden="1"/>
    </xf>
    <xf numFmtId="0" fontId="77" fillId="0" borderId="18" xfId="0" applyFont="1" applyBorder="1" applyProtection="1">
      <protection hidden="1"/>
    </xf>
    <xf numFmtId="0" fontId="77" fillId="0" borderId="20" xfId="0" applyFont="1" applyBorder="1" applyProtection="1">
      <protection hidden="1"/>
    </xf>
    <xf numFmtId="0" fontId="101" fillId="0" borderId="33" xfId="0" applyFont="1" applyBorder="1" applyProtection="1">
      <protection hidden="1"/>
    </xf>
    <xf numFmtId="0" fontId="80" fillId="0" borderId="19" xfId="0" applyFont="1" applyBorder="1" applyProtection="1">
      <protection hidden="1"/>
    </xf>
    <xf numFmtId="0" fontId="103" fillId="0" borderId="32" xfId="0" applyFont="1" applyBorder="1" applyAlignment="1" applyProtection="1">
      <alignment horizontal="center"/>
      <protection hidden="1"/>
    </xf>
    <xf numFmtId="0" fontId="45" fillId="0" borderId="32" xfId="0" applyFont="1" applyBorder="1" applyAlignment="1" applyProtection="1">
      <alignment horizontal="center"/>
      <protection hidden="1"/>
    </xf>
    <xf numFmtId="0" fontId="116" fillId="0" borderId="0" xfId="83" applyFont="1" applyAlignment="1" applyProtection="1">
      <alignment horizontal="right" vertical="center"/>
      <protection hidden="1"/>
    </xf>
    <xf numFmtId="0" fontId="33" fillId="46" borderId="0" xfId="90" applyFont="1" applyFill="1" applyAlignment="1" applyProtection="1">
      <alignment vertical="center"/>
      <protection hidden="1"/>
    </xf>
    <xf numFmtId="0" fontId="43" fillId="0" borderId="0" xfId="84" applyFont="1" applyFill="1" applyBorder="1" applyAlignment="1" applyProtection="1">
      <alignment horizontal="center" vertical="center"/>
      <protection hidden="1"/>
    </xf>
    <xf numFmtId="0" fontId="40" fillId="0" borderId="0" xfId="0" quotePrefix="1" applyFont="1" applyProtection="1">
      <protection hidden="1"/>
    </xf>
    <xf numFmtId="0" fontId="33" fillId="0" borderId="88" xfId="90" applyFont="1" applyBorder="1" applyAlignment="1" applyProtection="1">
      <alignment horizontal="center"/>
      <protection hidden="1"/>
    </xf>
    <xf numFmtId="0" fontId="32" fillId="46" borderId="0" xfId="90" applyFont="1" applyFill="1" applyAlignment="1" applyProtection="1">
      <alignment vertical="center"/>
      <protection hidden="1"/>
    </xf>
    <xf numFmtId="0" fontId="43" fillId="0" borderId="0" xfId="0" applyFont="1" applyAlignment="1" applyProtection="1">
      <alignment vertical="center"/>
      <protection hidden="1"/>
    </xf>
    <xf numFmtId="0" fontId="42" fillId="0" borderId="0" xfId="83" applyFont="1" applyAlignment="1" applyProtection="1">
      <alignment vertical="center"/>
      <protection locked="0" hidden="1"/>
    </xf>
    <xf numFmtId="49" fontId="40" fillId="0" borderId="58" xfId="0" applyNumberFormat="1" applyFont="1" applyBorder="1" applyAlignment="1" applyProtection="1">
      <alignment vertical="center"/>
      <protection hidden="1"/>
    </xf>
    <xf numFmtId="49" fontId="40" fillId="0" borderId="98" xfId="0" applyNumberFormat="1" applyFont="1" applyBorder="1" applyAlignment="1" applyProtection="1">
      <alignment vertical="center"/>
      <protection hidden="1"/>
    </xf>
    <xf numFmtId="0" fontId="115" fillId="0" borderId="0" xfId="84" applyFont="1" applyFill="1" applyBorder="1" applyAlignment="1" applyProtection="1">
      <alignment vertical="center"/>
      <protection hidden="1"/>
    </xf>
    <xf numFmtId="0" fontId="114" fillId="0" borderId="0" xfId="84" applyFont="1" applyFill="1" applyBorder="1" applyAlignment="1" applyProtection="1">
      <alignment vertical="center"/>
      <protection hidden="1"/>
    </xf>
    <xf numFmtId="0" fontId="114" fillId="0" borderId="100" xfId="84" applyFont="1" applyFill="1" applyBorder="1" applyAlignment="1" applyProtection="1">
      <alignment vertical="center"/>
      <protection hidden="1"/>
    </xf>
    <xf numFmtId="166" fontId="32" fillId="46" borderId="0" xfId="90" applyNumberFormat="1" applyFont="1" applyFill="1" applyAlignment="1" applyProtection="1">
      <alignment horizontal="right" vertical="center"/>
      <protection hidden="1"/>
    </xf>
    <xf numFmtId="0" fontId="40" fillId="0" borderId="32" xfId="83" applyFont="1" applyBorder="1" applyAlignment="1" applyProtection="1">
      <alignment horizontal="justify" vertical="center"/>
      <protection hidden="1"/>
    </xf>
    <xf numFmtId="0" fontId="40" fillId="0" borderId="58" xfId="83" applyFont="1" applyBorder="1" applyAlignment="1" applyProtection="1">
      <alignment horizontal="justify" vertical="center"/>
      <protection hidden="1"/>
    </xf>
    <xf numFmtId="0" fontId="33" fillId="42" borderId="0" xfId="83" applyFont="1" applyFill="1" applyAlignment="1" applyProtection="1">
      <alignment horizontal="center" vertical="center"/>
      <protection hidden="1"/>
    </xf>
    <xf numFmtId="0" fontId="31" fillId="0" borderId="19" xfId="90" applyFont="1" applyBorder="1" applyAlignment="1" applyProtection="1">
      <alignment horizontal="center" vertical="center"/>
      <protection hidden="1"/>
    </xf>
    <xf numFmtId="0" fontId="31" fillId="0" borderId="20" xfId="90" applyFont="1" applyBorder="1" applyAlignment="1" applyProtection="1">
      <alignment horizontal="center" vertical="center"/>
      <protection hidden="1"/>
    </xf>
    <xf numFmtId="0" fontId="33" fillId="0" borderId="16" xfId="90" applyFont="1" applyBorder="1" applyProtection="1">
      <protection hidden="1"/>
    </xf>
    <xf numFmtId="0" fontId="33" fillId="0" borderId="17" xfId="90" applyFont="1" applyBorder="1" applyProtection="1">
      <protection hidden="1"/>
    </xf>
    <xf numFmtId="0" fontId="31" fillId="0" borderId="17" xfId="90" applyFont="1" applyBorder="1" applyProtection="1">
      <protection hidden="1"/>
    </xf>
    <xf numFmtId="0" fontId="33" fillId="0" borderId="18" xfId="90" applyFont="1" applyBorder="1" applyProtection="1">
      <protection hidden="1"/>
    </xf>
    <xf numFmtId="0" fontId="31" fillId="0" borderId="19" xfId="90" applyFont="1" applyBorder="1" applyAlignment="1" applyProtection="1">
      <alignment horizontal="center"/>
      <protection hidden="1"/>
    </xf>
    <xf numFmtId="0" fontId="109" fillId="0" borderId="20" xfId="90" applyFont="1" applyBorder="1" applyProtection="1">
      <protection hidden="1"/>
    </xf>
    <xf numFmtId="0" fontId="31" fillId="0" borderId="20" xfId="90" applyFont="1" applyBorder="1" applyAlignment="1" applyProtection="1">
      <alignment horizontal="center"/>
      <protection hidden="1"/>
    </xf>
    <xf numFmtId="0" fontId="33" fillId="0" borderId="19" xfId="90" applyFont="1" applyBorder="1" applyProtection="1">
      <protection hidden="1"/>
    </xf>
    <xf numFmtId="0" fontId="33" fillId="0" borderId="20" xfId="90" applyFont="1" applyBorder="1" applyProtection="1">
      <protection hidden="1"/>
    </xf>
    <xf numFmtId="0" fontId="33" fillId="0" borderId="70" xfId="90" applyFont="1" applyBorder="1" applyAlignment="1" applyProtection="1">
      <alignment horizontal="left" readingOrder="1"/>
      <protection hidden="1"/>
    </xf>
    <xf numFmtId="0" fontId="40" fillId="0" borderId="70" xfId="90" applyFont="1" applyBorder="1" applyAlignment="1" applyProtection="1">
      <alignment horizontal="left" readingOrder="1"/>
      <protection hidden="1"/>
    </xf>
    <xf numFmtId="0" fontId="33" fillId="0" borderId="73" xfId="90" applyFont="1" applyBorder="1" applyProtection="1">
      <protection hidden="1"/>
    </xf>
    <xf numFmtId="0" fontId="33" fillId="0" borderId="73" xfId="90" applyFont="1" applyBorder="1" applyAlignment="1" applyProtection="1">
      <alignment horizontal="left" readingOrder="1"/>
      <protection hidden="1"/>
    </xf>
    <xf numFmtId="0" fontId="32" fillId="0" borderId="70" xfId="90" applyFont="1" applyBorder="1" applyProtection="1">
      <protection hidden="1"/>
    </xf>
    <xf numFmtId="0" fontId="33" fillId="0" borderId="88" xfId="90" applyFont="1" applyBorder="1" applyAlignment="1" applyProtection="1">
      <alignment horizontal="right"/>
      <protection hidden="1"/>
    </xf>
    <xf numFmtId="0" fontId="33" fillId="0" borderId="88" xfId="90" applyFont="1" applyBorder="1" applyAlignment="1" applyProtection="1">
      <alignment horizontal="left" readingOrder="1"/>
      <protection hidden="1"/>
    </xf>
    <xf numFmtId="0" fontId="33" fillId="0" borderId="88" xfId="90" applyFont="1" applyBorder="1" applyProtection="1">
      <protection hidden="1"/>
    </xf>
    <xf numFmtId="0" fontId="40" fillId="0" borderId="73" xfId="90" applyFont="1" applyBorder="1" applyAlignment="1" applyProtection="1">
      <alignment horizontal="left" readingOrder="1"/>
      <protection hidden="1"/>
    </xf>
    <xf numFmtId="0" fontId="32" fillId="0" borderId="73" xfId="90" applyFont="1" applyBorder="1" applyProtection="1">
      <protection hidden="1"/>
    </xf>
    <xf numFmtId="0" fontId="33" fillId="0" borderId="0" xfId="90" applyFont="1" applyAlignment="1" applyProtection="1">
      <alignment horizontal="left" readingOrder="1"/>
      <protection hidden="1"/>
    </xf>
    <xf numFmtId="0" fontId="40" fillId="0" borderId="70" xfId="90" applyFont="1" applyBorder="1" applyProtection="1">
      <protection hidden="1"/>
    </xf>
    <xf numFmtId="0" fontId="40" fillId="0" borderId="73" xfId="90" applyFont="1" applyBorder="1" applyProtection="1">
      <protection hidden="1"/>
    </xf>
    <xf numFmtId="0" fontId="119" fillId="0" borderId="0" xfId="83" applyFont="1"/>
    <xf numFmtId="0" fontId="40" fillId="0" borderId="0" xfId="90" applyFont="1" applyAlignment="1" applyProtection="1">
      <alignment horizontal="left" readingOrder="1"/>
      <protection hidden="1"/>
    </xf>
    <xf numFmtId="0" fontId="33" fillId="0" borderId="29" xfId="90" applyFont="1" applyBorder="1" applyProtection="1">
      <protection hidden="1"/>
    </xf>
    <xf numFmtId="0" fontId="33" fillId="0" borderId="27" xfId="90" applyFont="1" applyBorder="1" applyProtection="1">
      <protection hidden="1"/>
    </xf>
    <xf numFmtId="0" fontId="33" fillId="0" borderId="30" xfId="90" applyFont="1" applyBorder="1" applyProtection="1">
      <protection hidden="1"/>
    </xf>
    <xf numFmtId="0" fontId="33" fillId="0" borderId="89" xfId="90" applyFont="1" applyBorder="1" applyAlignment="1" applyProtection="1">
      <alignment horizontal="left" readingOrder="1"/>
      <protection hidden="1"/>
    </xf>
    <xf numFmtId="0" fontId="33" fillId="0" borderId="89" xfId="90" applyFont="1" applyBorder="1" applyAlignment="1" applyProtection="1">
      <alignment horizontal="right"/>
      <protection hidden="1"/>
    </xf>
    <xf numFmtId="0" fontId="40" fillId="0" borderId="89" xfId="90" applyFont="1" applyBorder="1" applyAlignment="1" applyProtection="1">
      <alignment horizontal="left" readingOrder="1"/>
      <protection hidden="1"/>
    </xf>
    <xf numFmtId="0" fontId="32" fillId="0" borderId="19" xfId="90" applyFont="1" applyBorder="1" applyAlignment="1" applyProtection="1">
      <alignment vertical="center"/>
      <protection hidden="1"/>
    </xf>
    <xf numFmtId="0" fontId="32" fillId="0" borderId="20" xfId="90" applyFont="1" applyBorder="1" applyAlignment="1" applyProtection="1">
      <alignment vertical="center"/>
      <protection hidden="1"/>
    </xf>
    <xf numFmtId="0" fontId="32" fillId="0" borderId="0" xfId="90" applyFont="1" applyAlignment="1" applyProtection="1">
      <alignment vertical="center"/>
      <protection hidden="1"/>
    </xf>
    <xf numFmtId="0" fontId="50" fillId="0" borderId="89" xfId="90" applyFont="1" applyBorder="1" applyAlignment="1" applyProtection="1">
      <alignment horizontal="center"/>
      <protection hidden="1"/>
    </xf>
    <xf numFmtId="0" fontId="50" fillId="0" borderId="0" xfId="90" applyFont="1" applyAlignment="1" applyProtection="1">
      <alignment horizontal="center"/>
      <protection hidden="1"/>
    </xf>
    <xf numFmtId="0" fontId="50" fillId="0" borderId="70" xfId="90" applyFont="1" applyBorder="1" applyAlignment="1" applyProtection="1">
      <alignment horizontal="center"/>
      <protection hidden="1"/>
    </xf>
    <xf numFmtId="0" fontId="50" fillId="0" borderId="70" xfId="90" applyFont="1" applyBorder="1" applyAlignment="1" applyProtection="1">
      <alignment horizontal="center" readingOrder="1"/>
      <protection hidden="1"/>
    </xf>
    <xf numFmtId="0" fontId="33" fillId="0" borderId="0" xfId="90" applyFont="1" applyAlignment="1" applyProtection="1">
      <alignment readingOrder="1"/>
      <protection hidden="1"/>
    </xf>
    <xf numFmtId="0" fontId="34" fillId="0" borderId="0" xfId="90" applyFont="1" applyAlignment="1" applyProtection="1">
      <alignment readingOrder="1"/>
      <protection hidden="1"/>
    </xf>
    <xf numFmtId="0" fontId="50" fillId="0" borderId="73" xfId="90" applyFont="1" applyBorder="1" applyAlignment="1" applyProtection="1">
      <alignment horizontal="center" readingOrder="1"/>
      <protection hidden="1"/>
    </xf>
    <xf numFmtId="0" fontId="33" fillId="0" borderId="73" xfId="90" applyFont="1" applyBorder="1" applyAlignment="1" applyProtection="1">
      <alignment readingOrder="1"/>
      <protection hidden="1"/>
    </xf>
    <xf numFmtId="0" fontId="32" fillId="46" borderId="0" xfId="90" applyFont="1" applyFill="1" applyAlignment="1" applyProtection="1">
      <alignment horizontal="left" vertical="center"/>
      <protection hidden="1"/>
    </xf>
    <xf numFmtId="0" fontId="33" fillId="42" borderId="0" xfId="0" applyFont="1" applyFill="1" applyAlignment="1" applyProtection="1">
      <alignment horizontal="center"/>
      <protection hidden="1"/>
    </xf>
    <xf numFmtId="0" fontId="109" fillId="0" borderId="0" xfId="90" applyFont="1" applyProtection="1">
      <protection hidden="1"/>
    </xf>
    <xf numFmtId="0" fontId="31" fillId="0" borderId="0" xfId="90" applyFont="1" applyAlignment="1" applyProtection="1">
      <alignment horizontal="center"/>
      <protection hidden="1"/>
    </xf>
    <xf numFmtId="0" fontId="31" fillId="0" borderId="0" xfId="90" applyFont="1" applyProtection="1">
      <protection hidden="1"/>
    </xf>
    <xf numFmtId="0" fontId="33" fillId="0" borderId="0" xfId="90" applyFont="1" applyAlignment="1" applyProtection="1">
      <alignment horizontal="justify"/>
      <protection hidden="1"/>
    </xf>
    <xf numFmtId="0" fontId="31" fillId="46" borderId="0" xfId="90" applyFont="1" applyFill="1" applyAlignment="1" applyProtection="1">
      <alignment horizontal="center" vertical="center"/>
      <protection hidden="1"/>
    </xf>
    <xf numFmtId="0" fontId="50" fillId="0" borderId="0" xfId="90" applyFont="1" applyAlignment="1" applyProtection="1">
      <alignment horizontal="center" readingOrder="1"/>
      <protection hidden="1"/>
    </xf>
    <xf numFmtId="166" fontId="32" fillId="46" borderId="0" xfId="90" applyNumberFormat="1" applyFont="1" applyFill="1" applyAlignment="1" applyProtection="1">
      <alignment vertical="center"/>
      <protection hidden="1"/>
    </xf>
    <xf numFmtId="7" fontId="32" fillId="46" borderId="0" xfId="90" applyNumberFormat="1" applyFont="1" applyFill="1" applyAlignment="1" applyProtection="1">
      <alignment vertical="center"/>
      <protection hidden="1"/>
    </xf>
    <xf numFmtId="0" fontId="50" fillId="0" borderId="70" xfId="90" applyFont="1" applyBorder="1" applyProtection="1">
      <protection hidden="1"/>
    </xf>
    <xf numFmtId="0" fontId="50" fillId="0" borderId="0" xfId="90" applyFont="1" applyProtection="1">
      <protection hidden="1"/>
    </xf>
    <xf numFmtId="0" fontId="42" fillId="0" borderId="19" xfId="0" applyFont="1" applyBorder="1" applyAlignment="1" applyProtection="1">
      <alignment horizontal="right"/>
      <protection hidden="1"/>
    </xf>
    <xf numFmtId="0" fontId="101" fillId="0" borderId="20" xfId="0" applyFont="1" applyBorder="1" applyProtection="1">
      <protection hidden="1"/>
    </xf>
    <xf numFmtId="0" fontId="40" fillId="0" borderId="0" xfId="83" applyFont="1" applyAlignment="1" applyProtection="1">
      <alignment vertical="center"/>
      <protection locked="0" hidden="1"/>
    </xf>
    <xf numFmtId="0" fontId="78" fillId="47" borderId="81" xfId="90" applyFont="1" applyFill="1" applyBorder="1" applyAlignment="1" applyProtection="1">
      <alignment horizontal="center" vertical="center"/>
      <protection hidden="1"/>
    </xf>
    <xf numFmtId="0" fontId="40" fillId="0" borderId="0" xfId="83" applyFont="1" applyAlignment="1" applyProtection="1">
      <alignment horizontal="left" vertical="top"/>
      <protection hidden="1"/>
    </xf>
    <xf numFmtId="0" fontId="31" fillId="0" borderId="31" xfId="90" applyFont="1" applyBorder="1" applyAlignment="1" applyProtection="1">
      <alignment horizontal="center"/>
      <protection hidden="1"/>
    </xf>
    <xf numFmtId="0" fontId="31" fillId="0" borderId="32" xfId="90" applyFont="1" applyBorder="1" applyAlignment="1" applyProtection="1">
      <alignment horizontal="center"/>
      <protection hidden="1"/>
    </xf>
    <xf numFmtId="0" fontId="31" fillId="0" borderId="32" xfId="90" applyFont="1" applyBorder="1" applyProtection="1">
      <protection hidden="1"/>
    </xf>
    <xf numFmtId="0" fontId="31" fillId="0" borderId="33" xfId="90" applyFont="1" applyBorder="1" applyAlignment="1" applyProtection="1">
      <alignment horizontal="center"/>
      <protection hidden="1"/>
    </xf>
    <xf numFmtId="0" fontId="33" fillId="0" borderId="0" xfId="0" applyFont="1" applyAlignment="1">
      <alignment vertical="center" wrapText="1"/>
    </xf>
    <xf numFmtId="0" fontId="118" fillId="0" borderId="0" xfId="0" applyFont="1" applyAlignment="1">
      <alignment vertical="center" wrapText="1"/>
    </xf>
    <xf numFmtId="0" fontId="51" fillId="0" borderId="0" xfId="0" applyFont="1" applyAlignment="1">
      <alignment vertical="center" wrapText="1"/>
    </xf>
    <xf numFmtId="166" fontId="40" fillId="0" borderId="0" xfId="83" applyNumberFormat="1" applyFont="1" applyAlignment="1" applyProtection="1">
      <alignment horizontal="left" vertical="center"/>
      <protection hidden="1"/>
    </xf>
    <xf numFmtId="166" fontId="40" fillId="0" borderId="0" xfId="83" applyNumberFormat="1" applyFont="1" applyAlignment="1" applyProtection="1">
      <alignment vertical="center"/>
      <protection hidden="1"/>
    </xf>
    <xf numFmtId="0" fontId="32" fillId="0" borderId="35" xfId="0" applyFont="1" applyBorder="1" applyAlignment="1" applyProtection="1">
      <alignment horizontal="center"/>
      <protection hidden="1"/>
    </xf>
    <xf numFmtId="166" fontId="33" fillId="0" borderId="36" xfId="0" applyNumberFormat="1" applyFont="1" applyBorder="1" applyProtection="1">
      <protection hidden="1"/>
    </xf>
    <xf numFmtId="0" fontId="32" fillId="0" borderId="36" xfId="0" applyFont="1" applyBorder="1" applyAlignment="1" applyProtection="1">
      <alignment horizontal="center"/>
      <protection hidden="1"/>
    </xf>
    <xf numFmtId="0" fontId="40" fillId="0" borderId="36" xfId="83" applyFont="1" applyBorder="1" applyProtection="1">
      <protection hidden="1"/>
    </xf>
    <xf numFmtId="0" fontId="32" fillId="0" borderId="36" xfId="0" applyFont="1" applyBorder="1" applyProtection="1">
      <protection hidden="1"/>
    </xf>
    <xf numFmtId="0" fontId="104" fillId="0" borderId="0" xfId="0" applyFont="1" applyProtection="1">
      <protection hidden="1"/>
    </xf>
    <xf numFmtId="0" fontId="47" fillId="0" borderId="0" xfId="83" applyFont="1" applyProtection="1">
      <protection hidden="1"/>
    </xf>
    <xf numFmtId="0" fontId="40" fillId="0" borderId="0" xfId="83" applyFont="1" applyAlignment="1" applyProtection="1">
      <alignment horizontal="right" vertical="center"/>
      <protection hidden="1"/>
    </xf>
    <xf numFmtId="0" fontId="32" fillId="46" borderId="0" xfId="90" applyFont="1" applyFill="1" applyAlignment="1" applyProtection="1">
      <alignment horizontal="center" vertical="center"/>
      <protection hidden="1"/>
    </xf>
    <xf numFmtId="0" fontId="33" fillId="46" borderId="0" xfId="90" applyFont="1" applyFill="1" applyAlignment="1" applyProtection="1">
      <alignment horizontal="right" vertical="center"/>
      <protection hidden="1"/>
    </xf>
    <xf numFmtId="4" fontId="33" fillId="46" borderId="0" xfId="90" applyNumberFormat="1" applyFont="1" applyFill="1" applyAlignment="1" applyProtection="1">
      <alignment horizontal="right" vertical="center"/>
      <protection hidden="1"/>
    </xf>
    <xf numFmtId="0" fontId="33" fillId="46" borderId="0" xfId="90" applyFont="1" applyFill="1" applyAlignment="1" applyProtection="1">
      <alignment horizontal="right" vertical="center"/>
      <protection locked="0" hidden="1"/>
    </xf>
    <xf numFmtId="0" fontId="106" fillId="0" borderId="99" xfId="0" applyFont="1" applyBorder="1" applyAlignment="1">
      <alignment horizontal="right"/>
    </xf>
    <xf numFmtId="0" fontId="40" fillId="0" borderId="0" xfId="0" applyFont="1"/>
    <xf numFmtId="49" fontId="40" fillId="0" borderId="0" xfId="0" applyNumberFormat="1" applyFont="1" applyAlignment="1" applyProtection="1">
      <alignment horizontal="left" vertical="center"/>
      <protection hidden="1"/>
    </xf>
    <xf numFmtId="0" fontId="77" fillId="0" borderId="29" xfId="0" applyFont="1" applyBorder="1" applyProtection="1">
      <protection hidden="1"/>
    </xf>
    <xf numFmtId="0" fontId="40" fillId="0" borderId="27" xfId="0" applyFont="1" applyBorder="1" applyProtection="1">
      <protection hidden="1"/>
    </xf>
    <xf numFmtId="0" fontId="55" fillId="0" borderId="27" xfId="84" applyFont="1" applyFill="1" applyBorder="1" applyAlignment="1" applyProtection="1">
      <protection hidden="1"/>
    </xf>
    <xf numFmtId="0" fontId="77" fillId="0" borderId="30" xfId="0" applyFont="1" applyBorder="1" applyProtection="1">
      <protection hidden="1"/>
    </xf>
    <xf numFmtId="0" fontId="33" fillId="0" borderId="0" xfId="0" applyFont="1" applyAlignment="1">
      <alignment wrapText="1"/>
    </xf>
    <xf numFmtId="0" fontId="47" fillId="0" borderId="0" xfId="83" applyFont="1" applyAlignment="1" applyProtection="1">
      <alignment horizontal="left" vertical="center"/>
      <protection hidden="1"/>
    </xf>
    <xf numFmtId="0" fontId="104" fillId="0" borderId="0" xfId="83" applyFont="1" applyAlignment="1" applyProtection="1">
      <alignment horizontal="left" wrapText="1"/>
      <protection hidden="1"/>
    </xf>
    <xf numFmtId="0" fontId="33" fillId="0" borderId="0" xfId="83" applyFont="1" applyAlignment="1" applyProtection="1">
      <alignment horizontal="left" wrapText="1"/>
      <protection hidden="1"/>
    </xf>
    <xf numFmtId="0" fontId="75" fillId="0" borderId="0" xfId="0" applyFont="1" applyAlignment="1" applyProtection="1">
      <alignment horizontal="center"/>
      <protection hidden="1"/>
    </xf>
    <xf numFmtId="9" fontId="81" fillId="0" borderId="0" xfId="0" applyNumberFormat="1" applyFont="1" applyAlignment="1" applyProtection="1">
      <alignment horizontal="center"/>
      <protection hidden="1"/>
    </xf>
    <xf numFmtId="3" fontId="113" fillId="0" borderId="0" xfId="0" applyNumberFormat="1" applyFont="1" applyAlignment="1" applyProtection="1">
      <alignment horizontal="center" vertical="center"/>
      <protection hidden="1"/>
    </xf>
    <xf numFmtId="0" fontId="34" fillId="0" borderId="0" xfId="89" applyFont="1" applyProtection="1">
      <protection hidden="1"/>
    </xf>
    <xf numFmtId="0" fontId="34" fillId="0" borderId="0" xfId="89" applyFont="1" applyAlignment="1" applyProtection="1">
      <alignment horizontal="center"/>
      <protection hidden="1"/>
    </xf>
    <xf numFmtId="3" fontId="83" fillId="0" borderId="0" xfId="0" applyNumberFormat="1" applyFont="1" applyAlignment="1" applyProtection="1">
      <alignment horizontal="center" vertical="center"/>
      <protection hidden="1"/>
    </xf>
    <xf numFmtId="0" fontId="82" fillId="0" borderId="0" xfId="83" applyFont="1" applyAlignment="1" applyProtection="1">
      <alignment horizontal="center"/>
      <protection hidden="1"/>
    </xf>
    <xf numFmtId="0" fontId="75" fillId="0" borderId="0" xfId="0" applyFont="1" applyProtection="1">
      <protection hidden="1"/>
    </xf>
    <xf numFmtId="3" fontId="82" fillId="0" borderId="0" xfId="83" applyNumberFormat="1" applyFont="1" applyAlignment="1" applyProtection="1">
      <alignment horizontal="center"/>
      <protection hidden="1"/>
    </xf>
    <xf numFmtId="3" fontId="82" fillId="0" borderId="0" xfId="89" applyNumberFormat="1" applyFont="1" applyAlignment="1" applyProtection="1">
      <alignment horizontal="center" vertical="center"/>
      <protection hidden="1"/>
    </xf>
    <xf numFmtId="0" fontId="81" fillId="0" borderId="0" xfId="0" applyFont="1" applyProtection="1">
      <protection hidden="1"/>
    </xf>
    <xf numFmtId="1" fontId="81" fillId="0" borderId="0" xfId="0" applyNumberFormat="1" applyFont="1" applyAlignment="1" applyProtection="1">
      <alignment horizontal="center"/>
      <protection hidden="1"/>
    </xf>
    <xf numFmtId="1" fontId="81" fillId="0" borderId="0" xfId="0" applyNumberFormat="1" applyFont="1" applyAlignment="1" applyProtection="1">
      <alignment horizontal="center" vertical="center"/>
      <protection hidden="1"/>
    </xf>
    <xf numFmtId="0" fontId="82" fillId="0" borderId="0" xfId="0" applyFont="1" applyAlignment="1" applyProtection="1">
      <alignment horizontal="left"/>
      <protection hidden="1"/>
    </xf>
    <xf numFmtId="0" fontId="42" fillId="0" borderId="0" xfId="89" applyFont="1" applyAlignment="1" applyProtection="1">
      <alignment horizontal="center"/>
      <protection hidden="1"/>
    </xf>
    <xf numFmtId="166" fontId="40" fillId="0" borderId="0" xfId="89" applyNumberFormat="1" applyFont="1" applyAlignment="1" applyProtection="1">
      <alignment horizontal="left"/>
      <protection hidden="1"/>
    </xf>
    <xf numFmtId="0" fontId="40" fillId="0" borderId="87" xfId="83" applyFont="1" applyBorder="1" applyProtection="1">
      <protection hidden="1"/>
    </xf>
    <xf numFmtId="0" fontId="34" fillId="0" borderId="53" xfId="0" applyFont="1" applyBorder="1" applyProtection="1">
      <protection hidden="1"/>
    </xf>
    <xf numFmtId="0" fontId="47" fillId="0" borderId="126" xfId="83" applyFont="1" applyBorder="1" applyAlignment="1" applyProtection="1">
      <alignment horizontal="center" vertical="center"/>
      <protection hidden="1"/>
    </xf>
    <xf numFmtId="0" fontId="47" fillId="0" borderId="127" xfId="83" applyFont="1" applyBorder="1" applyAlignment="1" applyProtection="1">
      <alignment horizontal="center" vertical="center"/>
      <protection hidden="1"/>
    </xf>
    <xf numFmtId="0" fontId="33" fillId="0" borderId="70" xfId="90" applyFont="1" applyBorder="1" applyAlignment="1" applyProtection="1">
      <alignment horizontal="left"/>
      <protection hidden="1"/>
    </xf>
    <xf numFmtId="0" fontId="33" fillId="0" borderId="73" xfId="90" applyFont="1" applyBorder="1" applyAlignment="1" applyProtection="1">
      <alignment horizontal="left"/>
      <protection hidden="1"/>
    </xf>
    <xf numFmtId="3" fontId="120" fillId="0" borderId="0" xfId="0" applyNumberFormat="1" applyFont="1" applyAlignment="1" applyProtection="1">
      <alignment horizontal="left"/>
      <protection hidden="1"/>
    </xf>
    <xf numFmtId="2" fontId="40" fillId="0" borderId="0" xfId="0" applyNumberFormat="1" applyFont="1" applyProtection="1">
      <protection hidden="1"/>
    </xf>
    <xf numFmtId="2" fontId="40" fillId="0" borderId="0" xfId="0" applyNumberFormat="1" applyFont="1" applyAlignment="1" applyProtection="1">
      <alignment horizontal="right"/>
      <protection hidden="1"/>
    </xf>
    <xf numFmtId="1" fontId="81" fillId="0" borderId="141" xfId="0" applyNumberFormat="1" applyFont="1" applyBorder="1" applyAlignment="1" applyProtection="1">
      <alignment horizontal="center"/>
      <protection hidden="1"/>
    </xf>
    <xf numFmtId="1" fontId="44" fillId="0" borderId="0" xfId="0" applyNumberFormat="1" applyFont="1" applyAlignment="1" applyProtection="1">
      <alignment horizontal="center" vertical="center"/>
      <protection hidden="1"/>
    </xf>
    <xf numFmtId="0" fontId="42" fillId="46" borderId="0" xfId="0" applyFont="1" applyFill="1" applyAlignment="1" applyProtection="1">
      <alignment vertical="center"/>
      <protection locked="0" hidden="1"/>
    </xf>
    <xf numFmtId="0" fontId="42" fillId="0" borderId="0" xfId="0" applyFont="1" applyAlignment="1" applyProtection="1">
      <alignment horizontal="center" vertical="center"/>
      <protection hidden="1"/>
    </xf>
    <xf numFmtId="0" fontId="34" fillId="0" borderId="0" xfId="0" applyFont="1" applyAlignment="1" applyProtection="1">
      <alignment wrapText="1"/>
      <protection hidden="1"/>
    </xf>
    <xf numFmtId="0" fontId="33" fillId="0" borderId="0" xfId="0" applyFont="1" applyAlignment="1" applyProtection="1">
      <alignment horizontal="justify" vertical="center" wrapText="1"/>
      <protection hidden="1"/>
    </xf>
    <xf numFmtId="0" fontId="41" fillId="0" borderId="0" xfId="0" applyFont="1" applyAlignment="1" applyProtection="1">
      <alignment horizontal="justify" vertical="center" wrapText="1"/>
      <protection hidden="1"/>
    </xf>
    <xf numFmtId="0" fontId="70" fillId="0" borderId="0" xfId="0" applyFont="1" applyAlignment="1" applyProtection="1">
      <alignment horizontal="justify" vertical="center"/>
      <protection hidden="1"/>
    </xf>
    <xf numFmtId="0" fontId="70" fillId="0" borderId="0" xfId="0" applyFont="1" applyAlignment="1" applyProtection="1">
      <alignment horizontal="justify" vertical="center" wrapText="1"/>
      <protection hidden="1"/>
    </xf>
    <xf numFmtId="0" fontId="42" fillId="46" borderId="19" xfId="0" applyFont="1" applyFill="1" applyBorder="1" applyAlignment="1" applyProtection="1">
      <alignment horizontal="right"/>
      <protection hidden="1"/>
    </xf>
    <xf numFmtId="0" fontId="42" fillId="46" borderId="0" xfId="0" applyFont="1" applyFill="1" applyAlignment="1" applyProtection="1">
      <alignment horizontal="right"/>
      <protection hidden="1"/>
    </xf>
    <xf numFmtId="0" fontId="101" fillId="46" borderId="20" xfId="0" applyFont="1" applyFill="1" applyBorder="1" applyProtection="1">
      <protection hidden="1"/>
    </xf>
    <xf numFmtId="0" fontId="44" fillId="0" borderId="26" xfId="0" applyFont="1" applyBorder="1" applyProtection="1">
      <protection locked="0"/>
    </xf>
    <xf numFmtId="0" fontId="39" fillId="0" borderId="26" xfId="83" applyFont="1" applyBorder="1" applyAlignment="1" applyProtection="1">
      <alignment horizontal="right"/>
      <protection hidden="1"/>
    </xf>
    <xf numFmtId="0" fontId="40" fillId="0" borderId="26" xfId="0" applyFont="1" applyBorder="1" applyProtection="1">
      <protection hidden="1"/>
    </xf>
    <xf numFmtId="0" fontId="42" fillId="46" borderId="31" xfId="0" applyFont="1" applyFill="1" applyBorder="1" applyAlignment="1" applyProtection="1">
      <alignment horizontal="right"/>
      <protection hidden="1"/>
    </xf>
    <xf numFmtId="0" fontId="42" fillId="46" borderId="32" xfId="0" applyFont="1" applyFill="1" applyBorder="1" applyAlignment="1" applyProtection="1">
      <alignment horizontal="right"/>
      <protection hidden="1"/>
    </xf>
    <xf numFmtId="0" fontId="101" fillId="46" borderId="33" xfId="0" applyFont="1" applyFill="1" applyBorder="1" applyProtection="1">
      <protection hidden="1"/>
    </xf>
    <xf numFmtId="0" fontId="40" fillId="0" borderId="32" xfId="0" applyFont="1" applyBorder="1" applyAlignment="1" applyProtection="1">
      <alignment horizontal="right"/>
      <protection hidden="1"/>
    </xf>
    <xf numFmtId="0" fontId="44" fillId="0" borderId="32" xfId="0" applyFont="1" applyBorder="1" applyAlignment="1" applyProtection="1">
      <alignment horizontal="center"/>
      <protection hidden="1"/>
    </xf>
    <xf numFmtId="0" fontId="43" fillId="0" borderId="58" xfId="84" applyFont="1" applyFill="1" applyBorder="1" applyAlignment="1" applyProtection="1">
      <alignment vertical="center"/>
      <protection hidden="1"/>
    </xf>
    <xf numFmtId="0" fontId="77" fillId="0" borderId="58" xfId="84" applyFont="1" applyFill="1" applyBorder="1" applyAlignment="1" applyProtection="1">
      <alignment vertical="center"/>
      <protection hidden="1"/>
    </xf>
    <xf numFmtId="0" fontId="77" fillId="0" borderId="98" xfId="84" applyFont="1" applyFill="1" applyBorder="1" applyAlignment="1" applyProtection="1">
      <alignment vertical="center"/>
      <protection hidden="1"/>
    </xf>
    <xf numFmtId="0" fontId="42" fillId="0" borderId="20" xfId="0" applyFont="1" applyBorder="1" applyAlignment="1" applyProtection="1">
      <alignment horizontal="center" vertical="center"/>
      <protection hidden="1"/>
    </xf>
    <xf numFmtId="0" fontId="33" fillId="0" borderId="27" xfId="0" applyFont="1" applyBorder="1" applyProtection="1">
      <protection hidden="1"/>
    </xf>
    <xf numFmtId="0" fontId="33" fillId="0" borderId="27" xfId="0" applyFont="1" applyBorder="1" applyAlignment="1" applyProtection="1">
      <alignment vertical="center"/>
      <protection hidden="1"/>
    </xf>
    <xf numFmtId="0" fontId="34" fillId="0" borderId="27" xfId="0" applyFont="1" applyBorder="1" applyProtection="1">
      <protection hidden="1"/>
    </xf>
    <xf numFmtId="0" fontId="82" fillId="0" borderId="27" xfId="0" applyFont="1" applyBorder="1" applyAlignment="1" applyProtection="1">
      <alignment horizontal="center"/>
      <protection hidden="1"/>
    </xf>
    <xf numFmtId="0" fontId="82" fillId="0" borderId="0" xfId="0" applyFont="1" applyAlignment="1" applyProtection="1">
      <alignment horizontal="right"/>
      <protection hidden="1"/>
    </xf>
    <xf numFmtId="4" fontId="42" fillId="0" borderId="100" xfId="0" applyNumberFormat="1" applyFont="1" applyBorder="1" applyProtection="1">
      <protection hidden="1"/>
    </xf>
    <xf numFmtId="4" fontId="42" fillId="0" borderId="102" xfId="0" applyNumberFormat="1" applyFont="1" applyBorder="1" applyProtection="1">
      <protection hidden="1"/>
    </xf>
    <xf numFmtId="4" fontId="121" fillId="0" borderId="100" xfId="0" applyNumberFormat="1" applyFont="1" applyBorder="1" applyProtection="1">
      <protection hidden="1"/>
    </xf>
    <xf numFmtId="0" fontId="33" fillId="0" borderId="0" xfId="0" applyFont="1" applyAlignment="1">
      <alignment vertical="top" wrapText="1"/>
    </xf>
    <xf numFmtId="9" fontId="40" fillId="0" borderId="0" xfId="0" applyNumberFormat="1" applyFont="1" applyAlignment="1" applyProtection="1">
      <alignment horizontal="right"/>
      <protection hidden="1"/>
    </xf>
    <xf numFmtId="0" fontId="100" fillId="0" borderId="0" xfId="0" applyFont="1" applyAlignment="1" applyProtection="1">
      <alignment horizontal="right"/>
      <protection hidden="1"/>
    </xf>
    <xf numFmtId="0" fontId="33" fillId="0" borderId="0" xfId="0" applyFont="1" applyAlignment="1" applyProtection="1">
      <alignment horizontal="right"/>
      <protection hidden="1"/>
    </xf>
    <xf numFmtId="3" fontId="81" fillId="0" borderId="0" xfId="0" applyNumberFormat="1" applyFont="1" applyAlignment="1" applyProtection="1">
      <alignment horizontal="right"/>
      <protection hidden="1"/>
    </xf>
    <xf numFmtId="0" fontId="50" fillId="0" borderId="0" xfId="83" applyFont="1" applyAlignment="1" applyProtection="1">
      <alignment horizontal="right"/>
      <protection hidden="1"/>
    </xf>
    <xf numFmtId="0" fontId="54" fillId="0" borderId="0" xfId="89" applyFont="1" applyAlignment="1" applyProtection="1">
      <alignment horizontal="right"/>
      <protection hidden="1"/>
    </xf>
    <xf numFmtId="0" fontId="65" fillId="0" borderId="0" xfId="0" applyFont="1" applyAlignment="1" applyProtection="1">
      <alignment horizontal="right"/>
      <protection hidden="1"/>
    </xf>
    <xf numFmtId="167" fontId="82" fillId="0" borderId="0" xfId="83" applyNumberFormat="1" applyFont="1" applyAlignment="1" applyProtection="1">
      <alignment horizontal="right"/>
      <protection hidden="1"/>
    </xf>
    <xf numFmtId="0" fontId="54" fillId="0" borderId="0" xfId="89" applyFont="1" applyAlignment="1" applyProtection="1">
      <alignment horizontal="right" vertical="center"/>
      <protection hidden="1"/>
    </xf>
    <xf numFmtId="0" fontId="74" fillId="0" borderId="0" xfId="0" applyFont="1" applyAlignment="1" applyProtection="1">
      <alignment horizontal="right"/>
      <protection hidden="1"/>
    </xf>
    <xf numFmtId="4" fontId="106" fillId="0" borderId="0" xfId="0" applyNumberFormat="1" applyFont="1" applyAlignment="1" applyProtection="1">
      <alignment horizontal="center"/>
      <protection hidden="1"/>
    </xf>
    <xf numFmtId="9" fontId="106" fillId="0" borderId="0" xfId="0" applyNumberFormat="1" applyFont="1" applyAlignment="1" applyProtection="1">
      <alignment horizontal="center"/>
      <protection hidden="1"/>
    </xf>
    <xf numFmtId="0" fontId="50" fillId="0" borderId="73" xfId="90" applyFont="1" applyBorder="1" applyProtection="1">
      <protection hidden="1"/>
    </xf>
    <xf numFmtId="0" fontId="33" fillId="46" borderId="0" xfId="90" applyFont="1" applyFill="1" applyAlignment="1" applyProtection="1">
      <alignment horizontal="center" vertical="center"/>
      <protection locked="0" hidden="1"/>
    </xf>
    <xf numFmtId="0" fontId="122" fillId="0" borderId="0" xfId="90" applyFont="1" applyAlignment="1" applyProtection="1">
      <alignment horizontal="center"/>
      <protection hidden="1"/>
    </xf>
    <xf numFmtId="2" fontId="32" fillId="0" borderId="0" xfId="90" applyNumberFormat="1" applyFont="1" applyAlignment="1" applyProtection="1">
      <alignment vertical="center"/>
      <protection locked="0" hidden="1"/>
    </xf>
    <xf numFmtId="0" fontId="33" fillId="0" borderId="89" xfId="90" applyFont="1" applyBorder="1" applyAlignment="1" applyProtection="1">
      <alignment horizontal="center"/>
      <protection hidden="1"/>
    </xf>
    <xf numFmtId="0" fontId="33" fillId="0" borderId="0" xfId="90" applyFont="1" applyAlignment="1" applyProtection="1">
      <alignment horizontal="center" vertical="center"/>
      <protection hidden="1"/>
    </xf>
    <xf numFmtId="0" fontId="32" fillId="0" borderId="0" xfId="90" applyFont="1" applyAlignment="1" applyProtection="1">
      <alignment horizontal="center" vertical="center"/>
      <protection hidden="1"/>
    </xf>
    <xf numFmtId="0" fontId="123" fillId="0" borderId="0" xfId="90" applyFont="1" applyAlignment="1" applyProtection="1">
      <alignment vertical="center"/>
      <protection hidden="1"/>
    </xf>
    <xf numFmtId="0" fontId="124" fillId="0" borderId="0" xfId="90" applyFont="1" applyProtection="1">
      <protection hidden="1"/>
    </xf>
    <xf numFmtId="0" fontId="124" fillId="0" borderId="0" xfId="90" applyFont="1" applyAlignment="1" applyProtection="1">
      <alignment vertical="center"/>
      <protection hidden="1"/>
    </xf>
    <xf numFmtId="0" fontId="33" fillId="0" borderId="89" xfId="90" applyFont="1" applyBorder="1" applyAlignment="1" applyProtection="1">
      <alignment horizontal="left"/>
      <protection hidden="1"/>
    </xf>
    <xf numFmtId="0" fontId="32" fillId="0" borderId="89" xfId="90" applyFont="1" applyBorder="1" applyProtection="1">
      <protection hidden="1"/>
    </xf>
    <xf numFmtId="0" fontId="50" fillId="0" borderId="89" xfId="90" applyFont="1" applyBorder="1" applyProtection="1">
      <protection hidden="1"/>
    </xf>
    <xf numFmtId="0" fontId="54" fillId="0" borderId="0" xfId="0" applyFont="1" applyAlignment="1" applyProtection="1">
      <alignment horizontal="center" vertical="center"/>
      <protection hidden="1"/>
    </xf>
    <xf numFmtId="0" fontId="40" fillId="0" borderId="0" xfId="91" applyFont="1" applyAlignment="1" applyProtection="1">
      <alignment vertical="center"/>
      <protection hidden="1"/>
    </xf>
    <xf numFmtId="0" fontId="40" fillId="0" borderId="0" xfId="91" applyFont="1" applyAlignment="1" applyProtection="1">
      <alignment horizontal="left" vertical="center"/>
      <protection hidden="1"/>
    </xf>
    <xf numFmtId="0" fontId="101" fillId="42" borderId="159" xfId="83" applyFont="1" applyFill="1" applyBorder="1" applyAlignment="1" applyProtection="1">
      <alignment horizontal="center" vertical="center"/>
      <protection hidden="1"/>
    </xf>
    <xf numFmtId="0" fontId="40" fillId="0" borderId="158" xfId="0" applyFont="1" applyBorder="1" applyAlignment="1" applyProtection="1">
      <alignment horizontal="center" vertical="center" wrapText="1"/>
      <protection hidden="1"/>
    </xf>
    <xf numFmtId="0" fontId="40" fillId="80" borderId="81" xfId="83" applyFont="1" applyFill="1" applyBorder="1" applyAlignment="1">
      <alignment horizontal="center" vertical="center"/>
    </xf>
    <xf numFmtId="169" fontId="101" fillId="42" borderId="129" xfId="92" applyNumberFormat="1" applyFont="1" applyFill="1" applyBorder="1" applyAlignment="1" applyProtection="1">
      <alignment horizontal="center" vertical="center"/>
      <protection hidden="1"/>
    </xf>
    <xf numFmtId="0" fontId="40" fillId="0" borderId="128" xfId="0" applyFont="1" applyBorder="1" applyAlignment="1" applyProtection="1">
      <alignment horizontal="center" vertical="center" wrapText="1"/>
      <protection hidden="1"/>
    </xf>
    <xf numFmtId="0" fontId="40" fillId="0" borderId="81" xfId="92" applyFont="1" applyBorder="1" applyAlignment="1" applyProtection="1">
      <alignment horizontal="center" vertical="center"/>
      <protection hidden="1"/>
    </xf>
    <xf numFmtId="169" fontId="40" fillId="0" borderId="129" xfId="92" applyNumberFormat="1" applyFont="1" applyBorder="1" applyAlignment="1" applyProtection="1">
      <alignment horizontal="center" vertical="center"/>
      <protection hidden="1"/>
    </xf>
    <xf numFmtId="0" fontId="101" fillId="0" borderId="128" xfId="0" applyFont="1" applyBorder="1" applyAlignment="1" applyProtection="1">
      <alignment horizontal="center" vertical="center"/>
      <protection hidden="1"/>
    </xf>
    <xf numFmtId="0" fontId="40" fillId="0" borderId="81" xfId="0" applyFont="1" applyBorder="1" applyAlignment="1" applyProtection="1">
      <alignment horizontal="center" vertical="center"/>
      <protection hidden="1"/>
    </xf>
    <xf numFmtId="0" fontId="101" fillId="0" borderId="158" xfId="0" applyFont="1" applyBorder="1" applyAlignment="1" applyProtection="1">
      <alignment horizontal="center" vertical="center"/>
      <protection hidden="1"/>
    </xf>
    <xf numFmtId="0" fontId="40" fillId="0" borderId="158" xfId="0" applyFont="1" applyBorder="1" applyAlignment="1" applyProtection="1">
      <alignment horizontal="center" vertical="center"/>
      <protection hidden="1"/>
    </xf>
    <xf numFmtId="0" fontId="40" fillId="0" borderId="128" xfId="0" applyFont="1" applyBorder="1" applyAlignment="1" applyProtection="1">
      <alignment horizontal="center" vertical="center"/>
      <protection hidden="1"/>
    </xf>
    <xf numFmtId="0" fontId="40" fillId="80" borderId="81" xfId="0" applyFont="1" applyFill="1" applyBorder="1" applyAlignment="1" applyProtection="1">
      <alignment horizontal="center" vertical="center"/>
      <protection hidden="1"/>
    </xf>
    <xf numFmtId="169" fontId="101" fillId="42" borderId="129" xfId="0" applyNumberFormat="1" applyFont="1" applyFill="1" applyBorder="1" applyAlignment="1" applyProtection="1">
      <alignment horizontal="center" vertical="center"/>
      <protection hidden="1"/>
    </xf>
    <xf numFmtId="0" fontId="40" fillId="0" borderId="112" xfId="0" applyFont="1" applyBorder="1" applyAlignment="1" applyProtection="1">
      <alignment horizontal="center" vertical="center"/>
      <protection hidden="1"/>
    </xf>
    <xf numFmtId="0" fontId="40" fillId="0" borderId="130" xfId="0" applyFont="1" applyBorder="1" applyAlignment="1" applyProtection="1">
      <alignment horizontal="center" vertical="center"/>
      <protection hidden="1"/>
    </xf>
    <xf numFmtId="0" fontId="40" fillId="80" borderId="125" xfId="0" applyFont="1" applyFill="1" applyBorder="1" applyAlignment="1" applyProtection="1">
      <alignment horizontal="center" vertical="center"/>
      <protection hidden="1"/>
    </xf>
    <xf numFmtId="169" fontId="42" fillId="42" borderId="131" xfId="0" applyNumberFormat="1" applyFont="1" applyFill="1" applyBorder="1" applyAlignment="1" applyProtection="1">
      <alignment horizontal="center" vertical="center"/>
      <protection hidden="1"/>
    </xf>
    <xf numFmtId="0" fontId="40" fillId="0" borderId="128" xfId="92" applyFont="1" applyBorder="1" applyAlignment="1" applyProtection="1">
      <alignment horizontal="center" vertical="center"/>
      <protection hidden="1"/>
    </xf>
    <xf numFmtId="0" fontId="40" fillId="0" borderId="113" xfId="83" applyFont="1" applyBorder="1" applyAlignment="1">
      <alignment horizontal="center" vertical="center"/>
    </xf>
    <xf numFmtId="169" fontId="40" fillId="80" borderId="81" xfId="92" applyNumberFormat="1" applyFont="1" applyFill="1" applyBorder="1" applyAlignment="1" applyProtection="1">
      <alignment horizontal="center" vertical="center"/>
      <protection hidden="1"/>
    </xf>
    <xf numFmtId="0" fontId="40" fillId="0" borderId="132" xfId="92" applyFont="1" applyBorder="1" applyAlignment="1" applyProtection="1">
      <alignment horizontal="center" vertical="center"/>
      <protection hidden="1"/>
    </xf>
    <xf numFmtId="169" fontId="40" fillId="80" borderId="112" xfId="92" applyNumberFormat="1" applyFont="1" applyFill="1" applyBorder="1" applyAlignment="1" applyProtection="1">
      <alignment horizontal="center" vertical="center"/>
      <protection hidden="1"/>
    </xf>
    <xf numFmtId="2" fontId="42" fillId="42" borderId="133" xfId="92" applyNumberFormat="1" applyFont="1" applyFill="1" applyBorder="1" applyAlignment="1" applyProtection="1">
      <alignment horizontal="center" vertical="center"/>
      <protection hidden="1"/>
    </xf>
    <xf numFmtId="0" fontId="40" fillId="0" borderId="134" xfId="0" applyFont="1" applyBorder="1" applyAlignment="1" applyProtection="1">
      <alignment horizontal="center" vertical="center" wrapText="1"/>
      <protection hidden="1"/>
    </xf>
    <xf numFmtId="0" fontId="42" fillId="42" borderId="135" xfId="0" applyFont="1" applyFill="1" applyBorder="1" applyAlignment="1" applyProtection="1">
      <alignment horizontal="center" vertical="center"/>
      <protection hidden="1"/>
    </xf>
    <xf numFmtId="2" fontId="42" fillId="42" borderId="136" xfId="0" applyNumberFormat="1" applyFont="1" applyFill="1" applyBorder="1" applyAlignment="1" applyProtection="1">
      <alignment horizontal="center" vertical="center"/>
      <protection hidden="1"/>
    </xf>
    <xf numFmtId="1" fontId="64" fillId="0" borderId="0" xfId="0" applyNumberFormat="1" applyFont="1" applyAlignment="1" applyProtection="1">
      <alignment horizontal="center"/>
      <protection locked="0" hidden="1"/>
    </xf>
    <xf numFmtId="0" fontId="110" fillId="46" borderId="0" xfId="84" applyFont="1" applyFill="1" applyBorder="1" applyAlignment="1" applyProtection="1">
      <alignment horizontal="center"/>
      <protection locked="0" hidden="1"/>
    </xf>
    <xf numFmtId="0" fontId="54" fillId="48" borderId="0" xfId="85" applyFont="1" applyFill="1" applyAlignment="1" applyProtection="1">
      <alignment horizontal="center" vertical="center"/>
      <protection hidden="1"/>
    </xf>
    <xf numFmtId="0" fontId="54" fillId="48" borderId="28" xfId="0" applyFont="1" applyFill="1" applyBorder="1" applyAlignment="1" applyProtection="1">
      <alignment horizontal="left" vertical="center"/>
      <protection hidden="1"/>
    </xf>
    <xf numFmtId="9" fontId="54" fillId="48" borderId="23" xfId="0" applyNumberFormat="1" applyFont="1" applyFill="1" applyBorder="1" applyAlignment="1" applyProtection="1">
      <alignment horizontal="center" vertical="center"/>
      <protection hidden="1"/>
    </xf>
    <xf numFmtId="0" fontId="127" fillId="41" borderId="144" xfId="0" applyFont="1" applyFill="1" applyBorder="1" applyAlignment="1" applyProtection="1">
      <alignment horizontal="center" vertical="center"/>
      <protection hidden="1"/>
    </xf>
    <xf numFmtId="0" fontId="128" fillId="0" borderId="146" xfId="0" applyFont="1" applyBorder="1" applyAlignment="1" applyProtection="1">
      <alignment horizontal="center" vertical="center"/>
      <protection hidden="1"/>
    </xf>
    <xf numFmtId="0" fontId="46" fillId="47" borderId="0" xfId="0" applyFont="1" applyFill="1" applyAlignment="1" applyProtection="1">
      <alignment horizontal="center"/>
      <protection hidden="1"/>
    </xf>
    <xf numFmtId="3" fontId="54" fillId="47" borderId="151" xfId="0" quotePrefix="1" applyNumberFormat="1" applyFont="1" applyFill="1" applyBorder="1" applyAlignment="1" applyProtection="1">
      <alignment horizontal="center" vertical="center"/>
      <protection hidden="1"/>
    </xf>
    <xf numFmtId="2" fontId="37" fillId="48" borderId="151" xfId="0" applyNumberFormat="1" applyFont="1" applyFill="1" applyBorder="1" applyAlignment="1" applyProtection="1">
      <alignment horizontal="center" vertical="center"/>
      <protection hidden="1"/>
    </xf>
    <xf numFmtId="1" fontId="37" fillId="48" borderId="152" xfId="0" applyNumberFormat="1" applyFont="1" applyFill="1" applyBorder="1" applyAlignment="1" applyProtection="1">
      <alignment horizontal="center" vertical="center"/>
      <protection hidden="1"/>
    </xf>
    <xf numFmtId="0" fontId="54" fillId="0" borderId="23" xfId="0" applyFont="1" applyBorder="1" applyAlignment="1" applyProtection="1">
      <alignment vertical="center"/>
      <protection hidden="1"/>
    </xf>
    <xf numFmtId="0" fontId="54" fillId="0" borderId="54" xfId="89" applyFont="1" applyBorder="1" applyAlignment="1" applyProtection="1">
      <alignment horizontal="center" vertical="center"/>
      <protection hidden="1"/>
    </xf>
    <xf numFmtId="0" fontId="54" fillId="0" borderId="11" xfId="0" applyFont="1" applyBorder="1" applyAlignment="1" applyProtection="1">
      <alignment horizontal="center" vertical="center"/>
      <protection hidden="1"/>
    </xf>
    <xf numFmtId="0" fontId="46" fillId="0" borderId="11" xfId="0" applyFont="1" applyBorder="1" applyAlignment="1" applyProtection="1">
      <alignment horizontal="center"/>
      <protection hidden="1"/>
    </xf>
    <xf numFmtId="0" fontId="46" fillId="0" borderId="52" xfId="0" applyFont="1" applyBorder="1" applyAlignment="1" applyProtection="1">
      <alignment horizontal="center"/>
      <protection hidden="1"/>
    </xf>
    <xf numFmtId="0" fontId="46" fillId="0" borderId="23" xfId="0" applyFont="1" applyBorder="1" applyAlignment="1" applyProtection="1">
      <alignment horizontal="center"/>
      <protection hidden="1"/>
    </xf>
    <xf numFmtId="0" fontId="54" fillId="48" borderId="15" xfId="0" applyFont="1" applyFill="1" applyBorder="1" applyAlignment="1" applyProtection="1">
      <alignment vertical="center"/>
      <protection hidden="1"/>
    </xf>
    <xf numFmtId="0" fontId="37" fillId="0" borderId="28" xfId="0" applyFont="1" applyBorder="1" applyAlignment="1" applyProtection="1">
      <alignment horizontal="center" vertical="center"/>
      <protection hidden="1"/>
    </xf>
    <xf numFmtId="0" fontId="54" fillId="0" borderId="52" xfId="0" applyFont="1" applyBorder="1" applyAlignment="1" applyProtection="1">
      <alignment vertical="center"/>
      <protection hidden="1"/>
    </xf>
    <xf numFmtId="0" fontId="37" fillId="48" borderId="52" xfId="83" applyFont="1" applyFill="1" applyBorder="1" applyAlignment="1" applyProtection="1">
      <alignment horizontal="center"/>
      <protection hidden="1"/>
    </xf>
    <xf numFmtId="0" fontId="37" fillId="48" borderId="23" xfId="83" applyFont="1" applyFill="1" applyBorder="1" applyAlignment="1" applyProtection="1">
      <alignment horizontal="center"/>
      <protection hidden="1"/>
    </xf>
    <xf numFmtId="0" fontId="46" fillId="0" borderId="0" xfId="0" applyFont="1" applyProtection="1">
      <protection hidden="1"/>
    </xf>
    <xf numFmtId="0" fontId="54" fillId="48" borderId="50" xfId="0" applyFont="1" applyFill="1" applyBorder="1" applyAlignment="1" applyProtection="1">
      <alignment horizontal="left" vertical="center"/>
      <protection hidden="1"/>
    </xf>
    <xf numFmtId="0" fontId="54" fillId="0" borderId="48" xfId="0" applyFont="1" applyBorder="1" applyAlignment="1" applyProtection="1">
      <alignment vertical="center"/>
      <protection hidden="1"/>
    </xf>
    <xf numFmtId="0" fontId="54" fillId="0" borderId="43" xfId="0" applyFont="1" applyBorder="1" applyAlignment="1" applyProtection="1">
      <alignment horizontal="center" vertical="center"/>
      <protection hidden="1"/>
    </xf>
    <xf numFmtId="0" fontId="54" fillId="0" borderId="147" xfId="0" applyFont="1" applyBorder="1" applyAlignment="1" applyProtection="1">
      <alignment vertical="center"/>
      <protection hidden="1"/>
    </xf>
    <xf numFmtId="0" fontId="54" fillId="0" borderId="153" xfId="0" applyFont="1" applyBorder="1" applyAlignment="1" applyProtection="1">
      <alignment horizontal="center" vertical="center"/>
      <protection hidden="1"/>
    </xf>
    <xf numFmtId="0" fontId="54" fillId="47" borderId="0" xfId="0" applyFont="1" applyFill="1" applyAlignment="1" applyProtection="1">
      <alignment horizontal="center" vertical="center"/>
      <protection hidden="1"/>
    </xf>
    <xf numFmtId="0" fontId="54" fillId="0" borderId="0" xfId="0" applyFont="1" applyAlignment="1" applyProtection="1">
      <alignment vertical="center"/>
      <protection hidden="1"/>
    </xf>
    <xf numFmtId="0" fontId="54" fillId="0" borderId="154" xfId="0" applyFont="1" applyBorder="1" applyAlignment="1" applyProtection="1">
      <alignment vertical="center"/>
      <protection hidden="1"/>
    </xf>
    <xf numFmtId="0" fontId="54" fillId="0" borderId="48" xfId="89" applyFont="1" applyBorder="1" applyProtection="1">
      <protection hidden="1"/>
    </xf>
    <xf numFmtId="4" fontId="54" fillId="48" borderId="142" xfId="89" applyNumberFormat="1" applyFont="1" applyFill="1" applyBorder="1" applyAlignment="1" applyProtection="1">
      <alignment horizontal="center"/>
      <protection hidden="1"/>
    </xf>
    <xf numFmtId="4" fontId="54" fillId="48" borderId="54" xfId="89" applyNumberFormat="1" applyFont="1" applyFill="1" applyBorder="1" applyAlignment="1" applyProtection="1">
      <alignment horizontal="center"/>
      <protection hidden="1"/>
    </xf>
    <xf numFmtId="4" fontId="54" fillId="48" borderId="11" xfId="89" applyNumberFormat="1" applyFont="1" applyFill="1" applyBorder="1" applyAlignment="1" applyProtection="1">
      <alignment horizontal="center"/>
      <protection hidden="1"/>
    </xf>
    <xf numFmtId="4" fontId="54" fillId="48" borderId="43" xfId="89" applyNumberFormat="1" applyFont="1" applyFill="1" applyBorder="1" applyAlignment="1" applyProtection="1">
      <alignment horizontal="center"/>
      <protection hidden="1"/>
    </xf>
    <xf numFmtId="4" fontId="54" fillId="48" borderId="107" xfId="89" applyNumberFormat="1" applyFont="1" applyFill="1" applyBorder="1" applyAlignment="1" applyProtection="1">
      <alignment horizontal="center"/>
      <protection hidden="1"/>
    </xf>
    <xf numFmtId="4" fontId="54" fillId="48" borderId="111" xfId="89" applyNumberFormat="1" applyFont="1" applyFill="1" applyBorder="1" applyAlignment="1" applyProtection="1">
      <alignment horizontal="center"/>
      <protection hidden="1"/>
    </xf>
    <xf numFmtId="0" fontId="46" fillId="48" borderId="15" xfId="0" applyFont="1" applyFill="1" applyBorder="1" applyProtection="1">
      <protection hidden="1"/>
    </xf>
    <xf numFmtId="0" fontId="46" fillId="48" borderId="28" xfId="0" applyFont="1" applyFill="1" applyBorder="1" applyProtection="1">
      <protection hidden="1"/>
    </xf>
    <xf numFmtId="0" fontId="54" fillId="48" borderId="45" xfId="89" applyFont="1" applyFill="1" applyBorder="1" applyAlignment="1" applyProtection="1">
      <alignment horizontal="center"/>
      <protection hidden="1"/>
    </xf>
    <xf numFmtId="0" fontId="54" fillId="43" borderId="50" xfId="0" applyFont="1" applyFill="1" applyBorder="1" applyAlignment="1" applyProtection="1">
      <alignment horizontal="center" vertical="center"/>
      <protection hidden="1"/>
    </xf>
    <xf numFmtId="0" fontId="54" fillId="48" borderId="0" xfId="0" applyFont="1" applyFill="1" applyAlignment="1" applyProtection="1">
      <alignment horizontal="center" vertical="center"/>
      <protection hidden="1"/>
    </xf>
    <xf numFmtId="0" fontId="46" fillId="0" borderId="48" xfId="0" applyFont="1" applyBorder="1" applyProtection="1">
      <protection hidden="1"/>
    </xf>
    <xf numFmtId="0" fontId="54" fillId="48" borderId="51" xfId="0" applyFont="1" applyFill="1" applyBorder="1" applyAlignment="1" applyProtection="1">
      <alignment horizontal="left" vertical="center"/>
      <protection hidden="1"/>
    </xf>
    <xf numFmtId="0" fontId="54" fillId="0" borderId="49" xfId="0" applyFont="1" applyBorder="1" applyAlignment="1" applyProtection="1">
      <alignment vertical="center"/>
      <protection hidden="1"/>
    </xf>
    <xf numFmtId="3" fontId="54" fillId="48" borderId="28" xfId="0" quotePrefix="1" applyNumberFormat="1" applyFont="1" applyFill="1" applyBorder="1" applyAlignment="1" applyProtection="1">
      <alignment horizontal="center" vertical="center"/>
      <protection hidden="1"/>
    </xf>
    <xf numFmtId="0" fontId="54" fillId="0" borderId="147" xfId="0" applyFont="1" applyBorder="1" applyAlignment="1" applyProtection="1">
      <alignment horizontal="center" vertical="center"/>
      <protection hidden="1"/>
    </xf>
    <xf numFmtId="0" fontId="46" fillId="47" borderId="153" xfId="0" applyFont="1" applyFill="1" applyBorder="1" applyAlignment="1" applyProtection="1">
      <alignment horizontal="center"/>
      <protection hidden="1"/>
    </xf>
    <xf numFmtId="3" fontId="54" fillId="47" borderId="0" xfId="0" quotePrefix="1" applyNumberFormat="1" applyFont="1" applyFill="1" applyAlignment="1" applyProtection="1">
      <alignment horizontal="center" vertical="center"/>
      <protection hidden="1"/>
    </xf>
    <xf numFmtId="0" fontId="46" fillId="0" borderId="154" xfId="0" applyFont="1" applyBorder="1" applyProtection="1">
      <protection hidden="1"/>
    </xf>
    <xf numFmtId="0" fontId="54" fillId="0" borderId="48" xfId="89" applyFont="1" applyBorder="1" applyAlignment="1" applyProtection="1">
      <alignment horizontal="center"/>
      <protection hidden="1"/>
    </xf>
    <xf numFmtId="0" fontId="54" fillId="0" borderId="138" xfId="89" applyFont="1" applyBorder="1" applyAlignment="1" applyProtection="1">
      <alignment horizontal="center" vertical="center"/>
      <protection hidden="1"/>
    </xf>
    <xf numFmtId="4" fontId="54" fillId="0" borderId="0" xfId="0" applyNumberFormat="1" applyFont="1" applyAlignment="1" applyProtection="1">
      <alignment vertical="center"/>
      <protection hidden="1"/>
    </xf>
    <xf numFmtId="4" fontId="46" fillId="0" borderId="0" xfId="0" applyNumberFormat="1" applyFont="1" applyProtection="1">
      <protection hidden="1"/>
    </xf>
    <xf numFmtId="4" fontId="46" fillId="0" borderId="108" xfId="0" applyNumberFormat="1" applyFont="1" applyBorder="1" applyProtection="1">
      <protection hidden="1"/>
    </xf>
    <xf numFmtId="0" fontId="46" fillId="0" borderId="50" xfId="0" applyFont="1" applyBorder="1" applyProtection="1">
      <protection hidden="1"/>
    </xf>
    <xf numFmtId="0" fontId="46" fillId="48" borderId="45" xfId="0" applyFont="1" applyFill="1" applyBorder="1" applyAlignment="1" applyProtection="1">
      <alignment horizontal="center"/>
      <protection hidden="1"/>
    </xf>
    <xf numFmtId="0" fontId="54" fillId="48" borderId="45" xfId="0" applyFont="1" applyFill="1" applyBorder="1" applyAlignment="1" applyProtection="1">
      <alignment horizontal="center" vertical="center"/>
      <protection hidden="1"/>
    </xf>
    <xf numFmtId="0" fontId="54" fillId="48" borderId="50" xfId="0" applyFont="1" applyFill="1" applyBorder="1" applyAlignment="1" applyProtection="1">
      <alignment horizontal="center" vertical="center"/>
      <protection hidden="1"/>
    </xf>
    <xf numFmtId="0" fontId="54" fillId="0" borderId="50" xfId="0" applyFont="1" applyBorder="1" applyAlignment="1" applyProtection="1">
      <alignment vertical="center"/>
      <protection hidden="1"/>
    </xf>
    <xf numFmtId="9" fontId="54" fillId="0" borderId="48" xfId="0" applyNumberFormat="1" applyFont="1" applyBorder="1" applyAlignment="1" applyProtection="1">
      <alignment horizontal="center" vertical="center"/>
      <protection hidden="1"/>
    </xf>
    <xf numFmtId="3" fontId="54" fillId="48" borderId="50" xfId="0" quotePrefix="1" applyNumberFormat="1" applyFont="1" applyFill="1" applyBorder="1" applyAlignment="1" applyProtection="1">
      <alignment horizontal="center" vertical="center"/>
      <protection hidden="1"/>
    </xf>
    <xf numFmtId="2" fontId="54" fillId="0" borderId="153" xfId="0" applyNumberFormat="1" applyFont="1" applyBorder="1" applyAlignment="1" applyProtection="1">
      <alignment horizontal="center" vertical="center"/>
      <protection hidden="1"/>
    </xf>
    <xf numFmtId="2" fontId="54" fillId="0" borderId="0" xfId="0" applyNumberFormat="1" applyFont="1" applyAlignment="1" applyProtection="1">
      <alignment horizontal="center" vertical="center"/>
      <protection hidden="1"/>
    </xf>
    <xf numFmtId="0" fontId="54" fillId="0" borderId="154" xfId="0" applyFont="1" applyBorder="1" applyAlignment="1" applyProtection="1">
      <alignment horizontal="center" vertical="center"/>
      <protection hidden="1"/>
    </xf>
    <xf numFmtId="2" fontId="54" fillId="0" borderId="138" xfId="89" applyNumberFormat="1" applyFont="1" applyBorder="1" applyAlignment="1" applyProtection="1">
      <alignment horizontal="center" vertical="center"/>
      <protection hidden="1"/>
    </xf>
    <xf numFmtId="4" fontId="54" fillId="0" borderId="0" xfId="0" applyNumberFormat="1" applyFont="1" applyAlignment="1" applyProtection="1">
      <alignment horizontal="center" vertical="center"/>
      <protection hidden="1"/>
    </xf>
    <xf numFmtId="4" fontId="54" fillId="0" borderId="108" xfId="0" applyNumberFormat="1" applyFont="1" applyBorder="1" applyAlignment="1" applyProtection="1">
      <alignment horizontal="center" vertical="center"/>
      <protection hidden="1"/>
    </xf>
    <xf numFmtId="4" fontId="46" fillId="0" borderId="50" xfId="0" applyNumberFormat="1" applyFont="1" applyBorder="1" applyAlignment="1" applyProtection="1">
      <alignment horizontal="center"/>
      <protection hidden="1"/>
    </xf>
    <xf numFmtId="0" fontId="46" fillId="0" borderId="0" xfId="0" applyFont="1" applyAlignment="1" applyProtection="1">
      <alignment horizontal="left"/>
      <protection hidden="1"/>
    </xf>
    <xf numFmtId="0" fontId="54" fillId="0" borderId="51" xfId="0" applyFont="1" applyBorder="1" applyAlignment="1" applyProtection="1">
      <alignment vertical="center"/>
      <protection hidden="1"/>
    </xf>
    <xf numFmtId="9" fontId="54" fillId="0" borderId="49" xfId="0" applyNumberFormat="1" applyFont="1" applyBorder="1" applyAlignment="1" applyProtection="1">
      <alignment horizontal="center" vertical="center"/>
      <protection hidden="1"/>
    </xf>
    <xf numFmtId="0" fontId="54" fillId="47" borderId="15" xfId="0" applyFont="1" applyFill="1" applyBorder="1" applyAlignment="1" applyProtection="1">
      <alignment horizontal="center" vertical="center"/>
      <protection hidden="1"/>
    </xf>
    <xf numFmtId="4" fontId="54" fillId="0" borderId="138" xfId="89" applyNumberFormat="1" applyFont="1" applyBorder="1" applyAlignment="1" applyProtection="1">
      <alignment horizontal="center"/>
      <protection hidden="1"/>
    </xf>
    <xf numFmtId="4" fontId="46" fillId="0" borderId="0" xfId="0" applyNumberFormat="1" applyFont="1" applyAlignment="1" applyProtection="1">
      <alignment horizontal="center"/>
      <protection hidden="1"/>
    </xf>
    <xf numFmtId="0" fontId="54" fillId="47" borderId="45" xfId="0" applyFont="1" applyFill="1" applyBorder="1" applyAlignment="1" applyProtection="1">
      <alignment horizontal="center" vertical="center"/>
      <protection hidden="1"/>
    </xf>
    <xf numFmtId="4" fontId="54" fillId="42" borderId="0" xfId="0" applyNumberFormat="1" applyFont="1" applyFill="1" applyAlignment="1" applyProtection="1">
      <alignment horizontal="center" vertical="center"/>
      <protection hidden="1"/>
    </xf>
    <xf numFmtId="3" fontId="54" fillId="42" borderId="154" xfId="0" applyNumberFormat="1" applyFont="1" applyFill="1" applyBorder="1" applyAlignment="1" applyProtection="1">
      <alignment horizontal="center" vertical="center"/>
      <protection hidden="1"/>
    </xf>
    <xf numFmtId="0" fontId="54" fillId="47" borderId="46" xfId="0" applyFont="1" applyFill="1" applyBorder="1" applyAlignment="1" applyProtection="1">
      <alignment horizontal="center" vertical="center"/>
      <protection hidden="1"/>
    </xf>
    <xf numFmtId="0" fontId="54" fillId="0" borderId="148" xfId="0" applyFont="1" applyBorder="1" applyAlignment="1" applyProtection="1">
      <alignment horizontal="center" vertical="center"/>
      <protection hidden="1"/>
    </xf>
    <xf numFmtId="2" fontId="54" fillId="47" borderId="153" xfId="0" applyNumberFormat="1" applyFont="1" applyFill="1" applyBorder="1" applyAlignment="1" applyProtection="1">
      <alignment horizontal="center" vertical="center"/>
      <protection hidden="1"/>
    </xf>
    <xf numFmtId="0" fontId="46" fillId="0" borderId="45" xfId="0" applyFont="1" applyBorder="1" applyProtection="1">
      <protection hidden="1"/>
    </xf>
    <xf numFmtId="0" fontId="54" fillId="0" borderId="0" xfId="0" applyFont="1" applyProtection="1">
      <protection hidden="1"/>
    </xf>
    <xf numFmtId="0" fontId="54" fillId="0" borderId="49" xfId="89" applyFont="1" applyBorder="1" applyAlignment="1" applyProtection="1">
      <alignment horizontal="center"/>
      <protection hidden="1"/>
    </xf>
    <xf numFmtId="4" fontId="54" fillId="0" borderId="139" xfId="89" applyNumberFormat="1" applyFont="1" applyBorder="1" applyAlignment="1" applyProtection="1">
      <alignment horizontal="center"/>
      <protection hidden="1"/>
    </xf>
    <xf numFmtId="4" fontId="54" fillId="0" borderId="53" xfId="0" applyNumberFormat="1" applyFont="1" applyBorder="1" applyAlignment="1" applyProtection="1">
      <alignment horizontal="center" vertical="center"/>
      <protection hidden="1"/>
    </xf>
    <xf numFmtId="4" fontId="54" fillId="0" borderId="109" xfId="0" applyNumberFormat="1" applyFont="1" applyBorder="1" applyAlignment="1" applyProtection="1">
      <alignment horizontal="center" vertical="center"/>
      <protection hidden="1"/>
    </xf>
    <xf numFmtId="4" fontId="54" fillId="0" borderId="106" xfId="0" applyNumberFormat="1" applyFont="1" applyBorder="1" applyAlignment="1" applyProtection="1">
      <alignment horizontal="center" vertical="center"/>
      <protection hidden="1"/>
    </xf>
    <xf numFmtId="4" fontId="46" fillId="0" borderId="115" xfId="0" applyNumberFormat="1" applyFont="1" applyBorder="1" applyAlignment="1" applyProtection="1">
      <alignment horizontal="center"/>
      <protection hidden="1"/>
    </xf>
    <xf numFmtId="0" fontId="54" fillId="48" borderId="147" xfId="0" applyFont="1" applyFill="1" applyBorder="1" applyAlignment="1" applyProtection="1">
      <alignment vertical="center"/>
      <protection hidden="1"/>
    </xf>
    <xf numFmtId="0" fontId="54" fillId="48" borderId="15" xfId="0" applyFont="1" applyFill="1" applyBorder="1" applyAlignment="1" applyProtection="1">
      <alignment horizontal="center" vertical="center"/>
      <protection hidden="1"/>
    </xf>
    <xf numFmtId="0" fontId="54" fillId="48" borderId="147" xfId="0" applyFont="1" applyFill="1" applyBorder="1" applyAlignment="1" applyProtection="1">
      <alignment horizontal="center" vertical="center"/>
      <protection hidden="1"/>
    </xf>
    <xf numFmtId="4" fontId="54" fillId="47" borderId="153" xfId="0" applyNumberFormat="1" applyFont="1" applyFill="1" applyBorder="1" applyAlignment="1" applyProtection="1">
      <alignment horizontal="center" vertical="center"/>
      <protection hidden="1"/>
    </xf>
    <xf numFmtId="0" fontId="54" fillId="0" borderId="23" xfId="89" applyFont="1" applyBorder="1" applyAlignment="1" applyProtection="1">
      <alignment horizontal="center" vertical="center"/>
      <protection hidden="1"/>
    </xf>
    <xf numFmtId="0" fontId="46" fillId="0" borderId="15" xfId="0" applyFont="1" applyBorder="1" applyAlignment="1" applyProtection="1">
      <alignment horizontal="center"/>
      <protection hidden="1"/>
    </xf>
    <xf numFmtId="0" fontId="46" fillId="0" borderId="15" xfId="0" applyFont="1" applyBorder="1" applyAlignment="1" applyProtection="1">
      <alignment horizontal="center" vertical="center"/>
      <protection hidden="1"/>
    </xf>
    <xf numFmtId="0" fontId="54" fillId="0" borderId="11" xfId="89" applyFont="1" applyBorder="1" applyAlignment="1" applyProtection="1">
      <alignment horizontal="center"/>
      <protection hidden="1"/>
    </xf>
    <xf numFmtId="0" fontId="54" fillId="0" borderId="15" xfId="0" applyFont="1" applyBorder="1" applyAlignment="1" applyProtection="1">
      <alignment horizontal="center"/>
      <protection hidden="1"/>
    </xf>
    <xf numFmtId="0" fontId="54" fillId="0" borderId="28" xfId="89" applyFont="1" applyBorder="1" applyAlignment="1" applyProtection="1">
      <alignment horizontal="center" vertical="center"/>
      <protection hidden="1"/>
    </xf>
    <xf numFmtId="0" fontId="54" fillId="0" borderId="15" xfId="89" applyFont="1" applyBorder="1" applyAlignment="1" applyProtection="1">
      <alignment horizontal="center" vertical="center"/>
      <protection hidden="1"/>
    </xf>
    <xf numFmtId="0" fontId="46" fillId="46" borderId="45" xfId="0" applyFont="1" applyFill="1" applyBorder="1" applyProtection="1">
      <protection hidden="1"/>
    </xf>
    <xf numFmtId="0" fontId="54" fillId="0" borderId="0" xfId="0" applyFont="1" applyAlignment="1" applyProtection="1">
      <alignment horizontal="left" vertical="center"/>
      <protection hidden="1"/>
    </xf>
    <xf numFmtId="0" fontId="54" fillId="48" borderId="46" xfId="0" applyFont="1" applyFill="1" applyBorder="1" applyAlignment="1" applyProtection="1">
      <alignment horizontal="center" vertical="center"/>
      <protection hidden="1"/>
    </xf>
    <xf numFmtId="0" fontId="54" fillId="0" borderId="48" xfId="89" applyFont="1" applyBorder="1" applyAlignment="1" applyProtection="1">
      <alignment horizontal="center" vertical="center"/>
      <protection hidden="1"/>
    </xf>
    <xf numFmtId="2" fontId="54" fillId="48" borderId="23" xfId="89" applyNumberFormat="1" applyFont="1" applyFill="1" applyBorder="1" applyAlignment="1" applyProtection="1">
      <alignment horizontal="center"/>
      <protection hidden="1"/>
    </xf>
    <xf numFmtId="2" fontId="54" fillId="48" borderId="15" xfId="89" applyNumberFormat="1" applyFont="1" applyFill="1" applyBorder="1" applyAlignment="1" applyProtection="1">
      <alignment horizontal="center"/>
      <protection hidden="1"/>
    </xf>
    <xf numFmtId="0" fontId="54" fillId="0" borderId="53" xfId="0" applyFont="1" applyBorder="1" applyAlignment="1" applyProtection="1">
      <alignment vertical="center"/>
      <protection hidden="1"/>
    </xf>
    <xf numFmtId="0" fontId="54" fillId="0" borderId="45" xfId="0" applyFont="1" applyBorder="1" applyAlignment="1" applyProtection="1">
      <alignment horizontal="center" vertical="center"/>
      <protection hidden="1"/>
    </xf>
    <xf numFmtId="0" fontId="54" fillId="0" borderId="23" xfId="89" applyFont="1" applyBorder="1" applyAlignment="1" applyProtection="1">
      <alignment horizontal="center"/>
      <protection hidden="1"/>
    </xf>
    <xf numFmtId="4" fontId="54" fillId="0" borderId="48" xfId="0" applyNumberFormat="1" applyFont="1" applyBorder="1" applyAlignment="1" applyProtection="1">
      <alignment horizontal="center" vertical="center"/>
      <protection hidden="1"/>
    </xf>
    <xf numFmtId="0" fontId="54" fillId="0" borderId="45" xfId="0" applyFont="1" applyBorder="1" applyProtection="1">
      <protection hidden="1"/>
    </xf>
    <xf numFmtId="0" fontId="54" fillId="0" borderId="45" xfId="89" applyFont="1" applyBorder="1" applyAlignment="1" applyProtection="1">
      <alignment horizontal="center" vertical="center"/>
      <protection hidden="1"/>
    </xf>
    <xf numFmtId="4" fontId="46" fillId="0" borderId="48" xfId="0" applyNumberFormat="1" applyFont="1" applyBorder="1" applyAlignment="1" applyProtection="1">
      <alignment horizontal="center"/>
      <protection hidden="1"/>
    </xf>
    <xf numFmtId="4" fontId="46" fillId="0" borderId="0" xfId="140" applyNumberFormat="1" applyFont="1" applyFill="1" applyBorder="1" applyAlignment="1" applyProtection="1">
      <alignment horizontal="center"/>
      <protection hidden="1"/>
    </xf>
    <xf numFmtId="4" fontId="46" fillId="0" borderId="45" xfId="140" applyNumberFormat="1" applyFont="1" applyFill="1" applyBorder="1" applyAlignment="1" applyProtection="1">
      <alignment horizontal="center"/>
      <protection hidden="1"/>
    </xf>
    <xf numFmtId="0" fontId="129" fillId="47" borderId="0" xfId="0" applyFont="1" applyFill="1" applyAlignment="1">
      <alignment vertical="center"/>
    </xf>
    <xf numFmtId="0" fontId="37" fillId="0" borderId="28" xfId="89" applyFont="1" applyBorder="1" applyAlignment="1" applyProtection="1">
      <alignment horizontal="center"/>
      <protection hidden="1"/>
    </xf>
    <xf numFmtId="0" fontId="54" fillId="46" borderId="45" xfId="0" applyFont="1" applyFill="1" applyBorder="1" applyAlignment="1" applyProtection="1">
      <alignment horizontal="center" vertical="center"/>
      <protection hidden="1"/>
    </xf>
    <xf numFmtId="0" fontId="54" fillId="48" borderId="148" xfId="0" applyFont="1" applyFill="1" applyBorder="1" applyAlignment="1" applyProtection="1">
      <alignment horizontal="center" vertical="center"/>
      <protection hidden="1"/>
    </xf>
    <xf numFmtId="2" fontId="46" fillId="0" borderId="0" xfId="0" applyNumberFormat="1" applyFont="1" applyAlignment="1" applyProtection="1">
      <alignment horizontal="center" vertical="center"/>
      <protection hidden="1"/>
    </xf>
    <xf numFmtId="0" fontId="54" fillId="43" borderId="50" xfId="89" applyFont="1" applyFill="1" applyBorder="1" applyAlignment="1" applyProtection="1">
      <alignment horizontal="center"/>
      <protection hidden="1"/>
    </xf>
    <xf numFmtId="0" fontId="54" fillId="48" borderId="0" xfId="89" applyFont="1" applyFill="1" applyAlignment="1" applyProtection="1">
      <alignment horizontal="center"/>
      <protection hidden="1"/>
    </xf>
    <xf numFmtId="4" fontId="54" fillId="0" borderId="45" xfId="89" applyNumberFormat="1" applyFont="1" applyBorder="1" applyAlignment="1" applyProtection="1">
      <alignment horizontal="center"/>
      <protection hidden="1"/>
    </xf>
    <xf numFmtId="0" fontId="54" fillId="0" borderId="0" xfId="0" applyFont="1" applyAlignment="1" applyProtection="1">
      <alignment horizontal="left"/>
      <protection hidden="1"/>
    </xf>
    <xf numFmtId="0" fontId="54" fillId="0" borderId="155" xfId="0" applyFont="1" applyBorder="1" applyAlignment="1" applyProtection="1">
      <alignment horizontal="center" vertical="center"/>
      <protection hidden="1"/>
    </xf>
    <xf numFmtId="3" fontId="54" fillId="47" borderId="156" xfId="0" quotePrefix="1" applyNumberFormat="1" applyFont="1" applyFill="1" applyBorder="1" applyAlignment="1" applyProtection="1">
      <alignment horizontal="center" vertical="center"/>
      <protection hidden="1"/>
    </xf>
    <xf numFmtId="4" fontId="54" fillId="42" borderId="156" xfId="0" applyNumberFormat="1" applyFont="1" applyFill="1" applyBorder="1" applyAlignment="1" applyProtection="1">
      <alignment horizontal="center" vertical="center"/>
      <protection hidden="1"/>
    </xf>
    <xf numFmtId="3" fontId="54" fillId="42" borderId="157" xfId="0" applyNumberFormat="1" applyFont="1" applyFill="1" applyBorder="1" applyAlignment="1" applyProtection="1">
      <alignment horizontal="center" vertical="center"/>
      <protection hidden="1"/>
    </xf>
    <xf numFmtId="0" fontId="46" fillId="45" borderId="45" xfId="0" applyFont="1" applyFill="1" applyBorder="1" applyProtection="1">
      <protection hidden="1"/>
    </xf>
    <xf numFmtId="4" fontId="54" fillId="0" borderId="0" xfId="89" applyNumberFormat="1" applyFont="1" applyAlignment="1" applyProtection="1">
      <alignment horizontal="center"/>
      <protection hidden="1"/>
    </xf>
    <xf numFmtId="0" fontId="54" fillId="0" borderId="108" xfId="0" applyFont="1" applyBorder="1" applyAlignment="1" applyProtection="1">
      <alignment horizontal="center" vertical="center"/>
      <protection hidden="1"/>
    </xf>
    <xf numFmtId="1" fontId="54" fillId="0" borderId="147" xfId="0" applyNumberFormat="1" applyFont="1" applyBorder="1" applyAlignment="1" applyProtection="1">
      <alignment horizontal="center" vertical="center"/>
      <protection hidden="1"/>
    </xf>
    <xf numFmtId="3" fontId="54" fillId="0" borderId="50" xfId="0" quotePrefix="1" applyNumberFormat="1" applyFont="1" applyBorder="1" applyAlignment="1" applyProtection="1">
      <alignment horizontal="center" vertical="center"/>
      <protection hidden="1"/>
    </xf>
    <xf numFmtId="0" fontId="54" fillId="0" borderId="138" xfId="0" applyFont="1" applyBorder="1" applyAlignment="1" applyProtection="1">
      <alignment horizontal="center" vertical="center"/>
      <protection hidden="1"/>
    </xf>
    <xf numFmtId="0" fontId="54" fillId="45" borderId="45" xfId="0" applyFont="1" applyFill="1" applyBorder="1" applyAlignment="1" applyProtection="1">
      <alignment horizontal="center" vertical="center"/>
      <protection hidden="1"/>
    </xf>
    <xf numFmtId="2" fontId="54" fillId="0" borderId="147" xfId="0" applyNumberFormat="1" applyFont="1" applyBorder="1" applyAlignment="1" applyProtection="1">
      <alignment horizontal="center" vertical="center"/>
      <protection hidden="1"/>
    </xf>
    <xf numFmtId="4" fontId="46" fillId="0" borderId="53" xfId="0" applyNumberFormat="1" applyFont="1" applyBorder="1" applyAlignment="1" applyProtection="1">
      <alignment horizontal="center"/>
      <protection hidden="1"/>
    </xf>
    <xf numFmtId="4" fontId="46" fillId="0" borderId="49" xfId="0" applyNumberFormat="1" applyFont="1" applyBorder="1" applyAlignment="1" applyProtection="1">
      <alignment horizontal="center"/>
      <protection hidden="1"/>
    </xf>
    <xf numFmtId="4" fontId="46" fillId="0" borderId="53" xfId="140" applyNumberFormat="1" applyFont="1" applyFill="1" applyBorder="1" applyAlignment="1" applyProtection="1">
      <alignment horizontal="center"/>
      <protection hidden="1"/>
    </xf>
    <xf numFmtId="4" fontId="46" fillId="0" borderId="46" xfId="140" applyNumberFormat="1" applyFont="1" applyFill="1" applyBorder="1" applyAlignment="1" applyProtection="1">
      <alignment horizontal="center"/>
      <protection hidden="1"/>
    </xf>
    <xf numFmtId="2" fontId="46" fillId="0" borderId="90" xfId="0" applyNumberFormat="1" applyFont="1" applyBorder="1" applyAlignment="1" applyProtection="1">
      <alignment horizontal="center" vertical="center"/>
      <protection hidden="1"/>
    </xf>
    <xf numFmtId="4" fontId="54" fillId="0" borderId="46" xfId="89" applyNumberFormat="1" applyFont="1" applyBorder="1" applyAlignment="1" applyProtection="1">
      <alignment horizontal="center"/>
      <protection hidden="1"/>
    </xf>
    <xf numFmtId="0" fontId="46" fillId="45" borderId="46" xfId="0" applyFont="1" applyFill="1" applyBorder="1" applyProtection="1">
      <protection hidden="1"/>
    </xf>
    <xf numFmtId="0" fontId="54" fillId="43" borderId="51" xfId="0" applyFont="1" applyFill="1" applyBorder="1" applyAlignment="1" applyProtection="1">
      <alignment horizontal="center" vertical="center"/>
      <protection hidden="1"/>
    </xf>
    <xf numFmtId="4" fontId="54" fillId="0" borderId="53" xfId="89" applyNumberFormat="1" applyFont="1" applyBorder="1" applyAlignment="1" applyProtection="1">
      <alignment horizontal="center"/>
      <protection hidden="1"/>
    </xf>
    <xf numFmtId="0" fontId="54" fillId="45" borderId="46" xfId="0" applyFont="1" applyFill="1" applyBorder="1" applyAlignment="1" applyProtection="1">
      <alignment horizontal="center" vertical="center"/>
      <protection hidden="1"/>
    </xf>
    <xf numFmtId="0" fontId="54" fillId="0" borderId="28" xfId="0" applyFont="1" applyBorder="1" applyAlignment="1" applyProtection="1">
      <alignment horizontal="left"/>
      <protection hidden="1"/>
    </xf>
    <xf numFmtId="0" fontId="54" fillId="46" borderId="52" xfId="0" applyFont="1" applyFill="1" applyBorder="1" applyAlignment="1" applyProtection="1">
      <alignment horizontal="left"/>
      <protection hidden="1"/>
    </xf>
    <xf numFmtId="0" fontId="54" fillId="0" borderId="52" xfId="0" applyFont="1" applyBorder="1" applyAlignment="1" applyProtection="1">
      <alignment horizontal="left"/>
      <protection hidden="1"/>
    </xf>
    <xf numFmtId="0" fontId="46" fillId="45" borderId="23" xfId="0" applyFont="1" applyFill="1" applyBorder="1" applyAlignment="1" applyProtection="1">
      <alignment horizontal="left"/>
      <protection hidden="1"/>
    </xf>
    <xf numFmtId="0" fontId="54" fillId="0" borderId="50" xfId="0" applyFont="1" applyBorder="1" applyAlignment="1" applyProtection="1">
      <alignment horizontal="left"/>
      <protection hidden="1"/>
    </xf>
    <xf numFmtId="0" fontId="54" fillId="46" borderId="0" xfId="0" applyFont="1" applyFill="1" applyAlignment="1" applyProtection="1">
      <alignment horizontal="left"/>
      <protection hidden="1"/>
    </xf>
    <xf numFmtId="0" fontId="46" fillId="45" borderId="48" xfId="0" applyFont="1" applyFill="1" applyBorder="1" applyAlignment="1" applyProtection="1">
      <alignment horizontal="left"/>
      <protection hidden="1"/>
    </xf>
    <xf numFmtId="0" fontId="54" fillId="0" borderId="109" xfId="0" applyFont="1" applyBorder="1" applyAlignment="1" applyProtection="1">
      <alignment horizontal="center" vertical="center"/>
      <protection hidden="1"/>
    </xf>
    <xf numFmtId="2" fontId="54" fillId="0" borderId="148" xfId="0" applyNumberFormat="1" applyFont="1" applyBorder="1" applyAlignment="1" applyProtection="1">
      <alignment horizontal="center" vertical="center"/>
      <protection hidden="1"/>
    </xf>
    <xf numFmtId="3" fontId="54" fillId="0" borderId="115" xfId="0" quotePrefix="1" applyNumberFormat="1" applyFont="1" applyBorder="1" applyAlignment="1" applyProtection="1">
      <alignment horizontal="center" vertical="center"/>
      <protection hidden="1"/>
    </xf>
    <xf numFmtId="2" fontId="54" fillId="0" borderId="106" xfId="0" applyNumberFormat="1" applyFont="1" applyBorder="1" applyAlignment="1" applyProtection="1">
      <alignment horizontal="center" vertical="center"/>
      <protection hidden="1"/>
    </xf>
    <xf numFmtId="0" fontId="54" fillId="0" borderId="139" xfId="0" applyFont="1" applyBorder="1" applyAlignment="1" applyProtection="1">
      <alignment horizontal="center" vertical="center"/>
      <protection hidden="1"/>
    </xf>
    <xf numFmtId="0" fontId="46" fillId="0" borderId="0" xfId="0" applyFont="1" applyAlignment="1">
      <alignment horizontal="center"/>
    </xf>
    <xf numFmtId="43" fontId="46" fillId="0" borderId="0" xfId="139" applyFont="1" applyFill="1" applyBorder="1" applyAlignment="1">
      <alignment horizontal="center"/>
    </xf>
    <xf numFmtId="0" fontId="46" fillId="48" borderId="46" xfId="0" applyFont="1" applyFill="1" applyBorder="1" applyAlignment="1" applyProtection="1">
      <alignment horizontal="center"/>
      <protection hidden="1"/>
    </xf>
    <xf numFmtId="0" fontId="128" fillId="0" borderId="145" xfId="0" applyFont="1" applyBorder="1" applyAlignment="1" applyProtection="1">
      <alignment horizontal="center" vertical="center"/>
      <protection hidden="1"/>
    </xf>
    <xf numFmtId="3" fontId="54" fillId="0" borderId="0" xfId="0" quotePrefix="1" applyNumberFormat="1" applyFont="1" applyAlignment="1" applyProtection="1">
      <alignment horizontal="center" vertical="center"/>
      <protection hidden="1"/>
    </xf>
    <xf numFmtId="0" fontId="54" fillId="0" borderId="15" xfId="0" applyFont="1" applyBorder="1" applyAlignment="1" applyProtection="1">
      <alignment horizontal="center" vertical="center"/>
      <protection hidden="1"/>
    </xf>
    <xf numFmtId="0" fontId="54" fillId="0" borderId="108" xfId="0" applyFont="1" applyBorder="1" applyAlignment="1" applyProtection="1">
      <alignment vertical="center"/>
      <protection hidden="1"/>
    </xf>
    <xf numFmtId="2" fontId="54" fillId="43" borderId="148" xfId="0" applyNumberFormat="1" applyFont="1" applyFill="1" applyBorder="1" applyAlignment="1" applyProtection="1">
      <alignment horizontal="center" vertical="center"/>
      <protection hidden="1"/>
    </xf>
    <xf numFmtId="0" fontId="54" fillId="0" borderId="115" xfId="0" applyFont="1" applyBorder="1" applyAlignment="1" applyProtection="1">
      <alignment horizontal="center" vertical="center"/>
      <protection hidden="1"/>
    </xf>
    <xf numFmtId="0" fontId="54" fillId="0" borderId="11" xfId="0" applyFont="1" applyBorder="1" applyAlignment="1" applyProtection="1">
      <alignment horizontal="center"/>
      <protection hidden="1"/>
    </xf>
    <xf numFmtId="0" fontId="54" fillId="0" borderId="46" xfId="0" applyFont="1" applyBorder="1" applyAlignment="1" applyProtection="1">
      <alignment horizontal="center"/>
      <protection hidden="1"/>
    </xf>
    <xf numFmtId="0" fontId="54" fillId="0" borderId="54" xfId="0" applyFont="1" applyBorder="1" applyAlignment="1" applyProtection="1">
      <alignment horizontal="center"/>
      <protection hidden="1"/>
    </xf>
    <xf numFmtId="0" fontId="54" fillId="0" borderId="46" xfId="0" applyFont="1" applyBorder="1" applyAlignment="1" applyProtection="1">
      <alignment horizontal="center" vertical="center"/>
      <protection hidden="1"/>
    </xf>
    <xf numFmtId="0" fontId="54" fillId="0" borderId="28" xfId="0" applyFont="1" applyBorder="1" applyAlignment="1" applyProtection="1">
      <alignment horizontal="center" vertical="center"/>
      <protection hidden="1"/>
    </xf>
    <xf numFmtId="0" fontId="54" fillId="48" borderId="48" xfId="0" applyFont="1" applyFill="1" applyBorder="1" applyAlignment="1" applyProtection="1">
      <alignment horizontal="center" vertical="center"/>
      <protection hidden="1"/>
    </xf>
    <xf numFmtId="1" fontId="37" fillId="48" borderId="23" xfId="83" applyNumberFormat="1" applyFont="1" applyFill="1" applyBorder="1" applyAlignment="1" applyProtection="1">
      <alignment horizontal="center"/>
      <protection hidden="1"/>
    </xf>
    <xf numFmtId="0" fontId="54" fillId="0" borderId="50" xfId="0" applyFont="1" applyBorder="1" applyAlignment="1" applyProtection="1">
      <alignment horizontal="center" vertical="center"/>
      <protection hidden="1"/>
    </xf>
    <xf numFmtId="0" fontId="54" fillId="48" borderId="15" xfId="89" applyFont="1" applyFill="1" applyBorder="1" applyAlignment="1" applyProtection="1">
      <alignment horizontal="center" vertical="center"/>
      <protection hidden="1"/>
    </xf>
    <xf numFmtId="0" fontId="54" fillId="48" borderId="76" xfId="0" applyFont="1" applyFill="1" applyBorder="1" applyAlignment="1" applyProtection="1">
      <alignment horizontal="center"/>
      <protection hidden="1"/>
    </xf>
    <xf numFmtId="0" fontId="54" fillId="48" borderId="121" xfId="0" applyFont="1" applyFill="1" applyBorder="1" applyAlignment="1" applyProtection="1">
      <alignment horizontal="center" vertical="center"/>
      <protection hidden="1"/>
    </xf>
    <xf numFmtId="0" fontId="54" fillId="48" borderId="42" xfId="0" applyFont="1" applyFill="1" applyBorder="1" applyAlignment="1" applyProtection="1">
      <alignment horizontal="center" vertical="center"/>
      <protection hidden="1"/>
    </xf>
    <xf numFmtId="0" fontId="54" fillId="48" borderId="28" xfId="0" applyFont="1" applyFill="1" applyBorder="1" applyAlignment="1" applyProtection="1">
      <alignment vertical="center"/>
      <protection hidden="1"/>
    </xf>
    <xf numFmtId="0" fontId="54" fillId="48" borderId="50" xfId="0" applyFont="1" applyFill="1" applyBorder="1" applyAlignment="1" applyProtection="1">
      <alignment vertical="center"/>
      <protection hidden="1"/>
    </xf>
    <xf numFmtId="0" fontId="54" fillId="48" borderId="45" xfId="0" applyFont="1" applyFill="1" applyBorder="1" applyAlignment="1" applyProtection="1">
      <alignment vertical="center"/>
      <protection hidden="1"/>
    </xf>
    <xf numFmtId="0" fontId="54" fillId="0" borderId="119" xfId="0" applyFont="1" applyBorder="1" applyAlignment="1" applyProtection="1">
      <alignment horizontal="center" vertical="center"/>
      <protection hidden="1"/>
    </xf>
    <xf numFmtId="0" fontId="54" fillId="48" borderId="93" xfId="0" applyFont="1" applyFill="1" applyBorder="1" applyAlignment="1" applyProtection="1">
      <alignment horizontal="center" vertical="center"/>
      <protection hidden="1"/>
    </xf>
    <xf numFmtId="0" fontId="54" fillId="48" borderId="50" xfId="89" applyFont="1" applyFill="1" applyBorder="1" applyAlignment="1" applyProtection="1">
      <alignment horizontal="center"/>
      <protection hidden="1"/>
    </xf>
    <xf numFmtId="0" fontId="54" fillId="0" borderId="48" xfId="0" applyFont="1" applyBorder="1" applyProtection="1">
      <protection hidden="1"/>
    </xf>
    <xf numFmtId="1" fontId="54" fillId="0" borderId="115" xfId="0" applyNumberFormat="1" applyFont="1" applyBorder="1" applyAlignment="1" applyProtection="1">
      <alignment horizontal="center" vertical="center"/>
      <protection hidden="1"/>
    </xf>
    <xf numFmtId="0" fontId="54" fillId="0" borderId="106" xfId="0" applyFont="1" applyBorder="1" applyAlignment="1" applyProtection="1">
      <alignment horizontal="center" vertical="center"/>
      <protection hidden="1"/>
    </xf>
    <xf numFmtId="0" fontId="54" fillId="0" borderId="143" xfId="0" applyFont="1" applyBorder="1" applyAlignment="1" applyProtection="1">
      <alignment horizontal="center" vertical="center"/>
      <protection hidden="1"/>
    </xf>
    <xf numFmtId="0" fontId="54" fillId="48" borderId="45" xfId="89" applyFont="1" applyFill="1" applyBorder="1" applyAlignment="1" applyProtection="1">
      <alignment horizontal="center" vertical="center"/>
      <protection hidden="1"/>
    </xf>
    <xf numFmtId="0" fontId="54" fillId="48" borderId="77" xfId="0" applyFont="1" applyFill="1" applyBorder="1" applyAlignment="1" applyProtection="1">
      <alignment horizontal="center" vertical="center"/>
      <protection hidden="1"/>
    </xf>
    <xf numFmtId="0" fontId="54" fillId="48" borderId="92" xfId="0" applyFont="1" applyFill="1" applyBorder="1" applyAlignment="1" applyProtection="1">
      <alignment horizontal="center" vertical="center"/>
      <protection hidden="1"/>
    </xf>
    <xf numFmtId="0" fontId="46" fillId="48" borderId="50" xfId="0" applyFont="1" applyFill="1" applyBorder="1" applyAlignment="1" applyProtection="1">
      <alignment horizontal="center"/>
      <protection hidden="1"/>
    </xf>
    <xf numFmtId="0" fontId="54" fillId="48" borderId="110" xfId="0" applyFont="1" applyFill="1" applyBorder="1" applyAlignment="1" applyProtection="1">
      <alignment horizontal="center" vertical="center"/>
      <protection hidden="1"/>
    </xf>
    <xf numFmtId="3" fontId="54" fillId="0" borderId="119" xfId="0" applyNumberFormat="1" applyFont="1" applyBorder="1" applyAlignment="1" applyProtection="1">
      <alignment horizontal="center" vertical="center"/>
      <protection hidden="1"/>
    </xf>
    <xf numFmtId="3" fontId="54" fillId="48" borderId="93" xfId="0" applyNumberFormat="1" applyFont="1" applyFill="1" applyBorder="1" applyAlignment="1" applyProtection="1">
      <alignment horizontal="center" vertical="center"/>
      <protection hidden="1"/>
    </xf>
    <xf numFmtId="1" fontId="54" fillId="0" borderId="50" xfId="0" applyNumberFormat="1" applyFont="1" applyBorder="1" applyAlignment="1" applyProtection="1">
      <alignment horizontal="center" vertical="center"/>
      <protection hidden="1"/>
    </xf>
    <xf numFmtId="0" fontId="54" fillId="0" borderId="92" xfId="0" applyFont="1" applyBorder="1" applyAlignment="1" applyProtection="1">
      <alignment horizontal="center" vertical="center"/>
      <protection hidden="1"/>
    </xf>
    <xf numFmtId="0" fontId="54" fillId="0" borderId="50" xfId="89" applyFont="1" applyBorder="1" applyAlignment="1" applyProtection="1">
      <alignment horizontal="center"/>
      <protection hidden="1"/>
    </xf>
    <xf numFmtId="4" fontId="54" fillId="43" borderId="148" xfId="0" applyNumberFormat="1" applyFont="1" applyFill="1" applyBorder="1" applyAlignment="1" applyProtection="1">
      <alignment horizontal="center" vertical="center"/>
      <protection hidden="1"/>
    </xf>
    <xf numFmtId="3" fontId="54" fillId="0" borderId="0" xfId="89" applyNumberFormat="1" applyFont="1" applyAlignment="1" applyProtection="1">
      <alignment horizontal="center"/>
      <protection hidden="1"/>
    </xf>
    <xf numFmtId="3" fontId="54" fillId="0" borderId="48" xfId="89" applyNumberFormat="1" applyFont="1" applyBorder="1" applyAlignment="1" applyProtection="1">
      <alignment horizontal="center"/>
      <protection hidden="1"/>
    </xf>
    <xf numFmtId="4" fontId="54" fillId="0" borderId="147" xfId="0" applyNumberFormat="1" applyFont="1" applyBorder="1" applyAlignment="1" applyProtection="1">
      <alignment horizontal="center" vertical="center"/>
      <protection hidden="1"/>
    </xf>
    <xf numFmtId="4" fontId="54" fillId="43" borderId="147" xfId="0" applyNumberFormat="1" applyFont="1" applyFill="1" applyBorder="1" applyAlignment="1" applyProtection="1">
      <alignment horizontal="center" vertical="center"/>
      <protection hidden="1"/>
    </xf>
    <xf numFmtId="0" fontId="54" fillId="43" borderId="51" xfId="0" applyFont="1" applyFill="1" applyBorder="1" applyAlignment="1" applyProtection="1">
      <alignment horizontal="center"/>
      <protection hidden="1"/>
    </xf>
    <xf numFmtId="0" fontId="54" fillId="0" borderId="53" xfId="0" applyFont="1" applyBorder="1" applyAlignment="1">
      <alignment horizontal="center"/>
    </xf>
    <xf numFmtId="3" fontId="54" fillId="0" borderId="53" xfId="0" applyNumberFormat="1" applyFont="1" applyBorder="1" applyAlignment="1">
      <alignment horizontal="center"/>
    </xf>
    <xf numFmtId="3" fontId="54" fillId="0" borderId="49" xfId="0" applyNumberFormat="1" applyFont="1" applyBorder="1" applyAlignment="1">
      <alignment horizontal="center"/>
    </xf>
    <xf numFmtId="9" fontId="46" fillId="0" borderId="0" xfId="0" applyNumberFormat="1" applyFont="1" applyAlignment="1" applyProtection="1">
      <alignment horizontal="left"/>
      <protection hidden="1"/>
    </xf>
    <xf numFmtId="0" fontId="46" fillId="0" borderId="50" xfId="0" applyFont="1" applyBorder="1" applyAlignment="1" applyProtection="1">
      <alignment horizontal="center"/>
      <protection hidden="1"/>
    </xf>
    <xf numFmtId="2" fontId="46" fillId="0" borderId="0" xfId="0" applyNumberFormat="1" applyFont="1" applyAlignment="1" applyProtection="1">
      <alignment horizontal="center"/>
      <protection hidden="1"/>
    </xf>
    <xf numFmtId="0" fontId="46" fillId="0" borderId="138" xfId="0" applyFont="1" applyBorder="1" applyAlignment="1" applyProtection="1">
      <alignment horizontal="center"/>
      <protection hidden="1"/>
    </xf>
    <xf numFmtId="0" fontId="46" fillId="45" borderId="45" xfId="0" applyFont="1" applyFill="1" applyBorder="1" applyAlignment="1" applyProtection="1">
      <alignment wrapText="1"/>
      <protection hidden="1"/>
    </xf>
    <xf numFmtId="168" fontId="46" fillId="0" borderId="0" xfId="0" applyNumberFormat="1" applyFont="1" applyAlignment="1" applyProtection="1">
      <alignment horizontal="left"/>
      <protection hidden="1"/>
    </xf>
    <xf numFmtId="4" fontId="54" fillId="0" borderId="148" xfId="0" applyNumberFormat="1" applyFont="1" applyBorder="1" applyAlignment="1" applyProtection="1">
      <alignment horizontal="center" vertical="center"/>
      <protection hidden="1"/>
    </xf>
    <xf numFmtId="0" fontId="46" fillId="0" borderId="115" xfId="0" applyFont="1" applyBorder="1" applyAlignment="1" applyProtection="1">
      <alignment horizontal="center"/>
      <protection hidden="1"/>
    </xf>
    <xf numFmtId="2" fontId="46" fillId="0" borderId="106" xfId="0" applyNumberFormat="1" applyFont="1" applyBorder="1" applyAlignment="1" applyProtection="1">
      <alignment horizontal="center"/>
      <protection hidden="1"/>
    </xf>
    <xf numFmtId="0" fontId="46" fillId="0" borderId="139" xfId="0" applyFont="1" applyBorder="1" applyAlignment="1" applyProtection="1">
      <alignment horizontal="center"/>
      <protection hidden="1"/>
    </xf>
    <xf numFmtId="0" fontId="46" fillId="0" borderId="50" xfId="0" applyFont="1" applyBorder="1" applyAlignment="1">
      <alignment horizontal="center"/>
    </xf>
    <xf numFmtId="4" fontId="46" fillId="0" borderId="0" xfId="140" applyNumberFormat="1" applyFont="1" applyBorder="1" applyAlignment="1">
      <alignment horizontal="center"/>
    </xf>
    <xf numFmtId="3" fontId="54" fillId="0" borderId="120" xfId="0" applyNumberFormat="1" applyFont="1" applyBorder="1" applyAlignment="1" applyProtection="1">
      <alignment horizontal="center" vertical="center"/>
      <protection hidden="1"/>
    </xf>
    <xf numFmtId="3" fontId="54" fillId="48" borderId="94" xfId="0" applyNumberFormat="1" applyFont="1" applyFill="1" applyBorder="1" applyAlignment="1" applyProtection="1">
      <alignment horizontal="center" vertical="center"/>
      <protection hidden="1"/>
    </xf>
    <xf numFmtId="3" fontId="54" fillId="48" borderId="45" xfId="0" quotePrefix="1" applyNumberFormat="1" applyFont="1" applyFill="1" applyBorder="1" applyAlignment="1" applyProtection="1">
      <alignment horizontal="center" vertical="center"/>
      <protection hidden="1"/>
    </xf>
    <xf numFmtId="0" fontId="46" fillId="0" borderId="115" xfId="0" applyFont="1" applyBorder="1" applyAlignment="1">
      <alignment horizontal="center"/>
    </xf>
    <xf numFmtId="4" fontId="46" fillId="0" borderId="106" xfId="140" applyNumberFormat="1" applyFont="1" applyBorder="1" applyAlignment="1">
      <alignment horizontal="center"/>
    </xf>
    <xf numFmtId="0" fontId="54" fillId="0" borderId="150" xfId="0" applyFont="1" applyBorder="1" applyAlignment="1" applyProtection="1">
      <alignment horizontal="center" vertical="center"/>
      <protection hidden="1"/>
    </xf>
    <xf numFmtId="0" fontId="54" fillId="48" borderId="46" xfId="89" applyFont="1" applyFill="1" applyBorder="1" applyAlignment="1" applyProtection="1">
      <alignment horizontal="center"/>
      <protection hidden="1"/>
    </xf>
    <xf numFmtId="0" fontId="54" fillId="0" borderId="121" xfId="0" applyFont="1" applyBorder="1" applyAlignment="1" applyProtection="1">
      <alignment horizontal="center" vertical="center"/>
      <protection hidden="1"/>
    </xf>
    <xf numFmtId="0" fontId="54" fillId="48" borderId="45" xfId="0" applyFont="1" applyFill="1" applyBorder="1" applyAlignment="1" applyProtection="1">
      <alignment horizontal="center"/>
      <protection hidden="1"/>
    </xf>
    <xf numFmtId="2" fontId="54" fillId="0" borderId="0" xfId="0" applyNumberFormat="1" applyFont="1" applyAlignment="1" applyProtection="1">
      <alignment horizontal="center"/>
      <protection hidden="1"/>
    </xf>
    <xf numFmtId="2" fontId="54" fillId="0" borderId="106" xfId="0" applyNumberFormat="1" applyFont="1" applyBorder="1" applyAlignment="1" applyProtection="1">
      <alignment horizontal="center"/>
      <protection hidden="1"/>
    </xf>
    <xf numFmtId="3" fontId="130" fillId="0" borderId="0" xfId="0" applyNumberFormat="1" applyFont="1" applyAlignment="1" applyProtection="1">
      <alignment horizontal="center"/>
      <protection hidden="1"/>
    </xf>
    <xf numFmtId="0" fontId="54" fillId="0" borderId="77" xfId="0" applyFont="1" applyBorder="1" applyAlignment="1" applyProtection="1">
      <alignment horizontal="center" vertical="center"/>
      <protection hidden="1"/>
    </xf>
    <xf numFmtId="0" fontId="54" fillId="48" borderId="46" xfId="0" applyFont="1" applyFill="1" applyBorder="1" applyAlignment="1" applyProtection="1">
      <alignment horizontal="center"/>
      <protection hidden="1"/>
    </xf>
    <xf numFmtId="4" fontId="37" fillId="0" borderId="28" xfId="0" applyNumberFormat="1" applyFont="1" applyBorder="1" applyAlignment="1" applyProtection="1">
      <alignment horizontal="center" vertical="center"/>
      <protection hidden="1"/>
    </xf>
    <xf numFmtId="0" fontId="131" fillId="48" borderId="52" xfId="83" applyFont="1" applyFill="1" applyBorder="1" applyAlignment="1" applyProtection="1">
      <alignment horizontal="center"/>
      <protection hidden="1"/>
    </xf>
    <xf numFmtId="0" fontId="46" fillId="48" borderId="0" xfId="0" applyFont="1" applyFill="1" applyAlignment="1" applyProtection="1">
      <alignment horizontal="center"/>
      <protection hidden="1"/>
    </xf>
    <xf numFmtId="0" fontId="54" fillId="0" borderId="51" xfId="0" applyFont="1" applyBorder="1" applyAlignment="1" applyProtection="1">
      <alignment horizontal="center" vertical="center"/>
      <protection hidden="1"/>
    </xf>
    <xf numFmtId="0" fontId="46" fillId="0" borderId="49" xfId="0" applyFont="1" applyBorder="1" applyAlignment="1" applyProtection="1">
      <alignment horizontal="center"/>
      <protection hidden="1"/>
    </xf>
    <xf numFmtId="0" fontId="54" fillId="48" borderId="52" xfId="0" applyFont="1" applyFill="1" applyBorder="1" applyAlignment="1" applyProtection="1">
      <alignment horizontal="center" vertical="center"/>
      <protection hidden="1"/>
    </xf>
    <xf numFmtId="0" fontId="54" fillId="0" borderId="23" xfId="0" applyFont="1" applyBorder="1" applyProtection="1">
      <protection hidden="1"/>
    </xf>
    <xf numFmtId="0" fontId="132" fillId="0" borderId="50" xfId="0" applyFont="1" applyBorder="1" applyAlignment="1" applyProtection="1">
      <alignment horizontal="center" vertical="center"/>
      <protection hidden="1"/>
    </xf>
    <xf numFmtId="0" fontId="46" fillId="43" borderId="0" xfId="0" applyFont="1" applyFill="1" applyAlignment="1" applyProtection="1">
      <alignment horizontal="center"/>
      <protection hidden="1"/>
    </xf>
    <xf numFmtId="0" fontId="46" fillId="43" borderId="48" xfId="0" applyFont="1" applyFill="1" applyBorder="1" applyAlignment="1" applyProtection="1">
      <alignment horizontal="center"/>
      <protection hidden="1"/>
    </xf>
    <xf numFmtId="0" fontId="54" fillId="0" borderId="50" xfId="0" applyFont="1" applyBorder="1" applyAlignment="1" applyProtection="1">
      <alignment horizontal="center"/>
      <protection hidden="1"/>
    </xf>
    <xf numFmtId="0" fontId="54" fillId="48" borderId="0" xfId="0" applyFont="1" applyFill="1" applyProtection="1">
      <protection hidden="1"/>
    </xf>
    <xf numFmtId="0" fontId="54" fillId="48" borderId="75" xfId="0" applyFont="1" applyFill="1" applyBorder="1" applyAlignment="1" applyProtection="1">
      <alignment horizontal="center" vertical="center"/>
      <protection hidden="1"/>
    </xf>
    <xf numFmtId="3" fontId="103" fillId="0" borderId="48" xfId="0" applyNumberFormat="1" applyFont="1" applyBorder="1" applyAlignment="1" applyProtection="1">
      <alignment horizontal="center"/>
      <protection hidden="1"/>
    </xf>
    <xf numFmtId="0" fontId="54" fillId="0" borderId="51" xfId="0" applyFont="1" applyBorder="1" applyAlignment="1" applyProtection="1">
      <alignment horizontal="center"/>
      <protection hidden="1"/>
    </xf>
    <xf numFmtId="0" fontId="54" fillId="48" borderId="79" xfId="0" applyFont="1" applyFill="1" applyBorder="1" applyAlignment="1" applyProtection="1">
      <alignment horizontal="center" vertical="center"/>
      <protection hidden="1"/>
    </xf>
    <xf numFmtId="2" fontId="54" fillId="0" borderId="53" xfId="0" applyNumberFormat="1" applyFont="1" applyBorder="1" applyAlignment="1" applyProtection="1">
      <alignment horizontal="center"/>
      <protection hidden="1"/>
    </xf>
    <xf numFmtId="3" fontId="103" fillId="0" borderId="49" xfId="0" applyNumberFormat="1" applyFont="1" applyBorder="1" applyAlignment="1" applyProtection="1">
      <alignment horizontal="center"/>
      <protection hidden="1"/>
    </xf>
    <xf numFmtId="0" fontId="54" fillId="0" borderId="56" xfId="0" applyFont="1" applyBorder="1" applyProtection="1">
      <protection hidden="1"/>
    </xf>
    <xf numFmtId="0" fontId="54" fillId="0" borderId="28" xfId="0" applyFont="1" applyBorder="1" applyProtection="1">
      <protection hidden="1"/>
    </xf>
    <xf numFmtId="0" fontId="54" fillId="0" borderId="52" xfId="0" applyFont="1" applyBorder="1" applyProtection="1">
      <protection hidden="1"/>
    </xf>
    <xf numFmtId="0" fontId="54" fillId="46" borderId="55" xfId="0" applyFont="1" applyFill="1" applyBorder="1" applyProtection="1">
      <protection hidden="1"/>
    </xf>
    <xf numFmtId="0" fontId="132" fillId="0" borderId="50" xfId="0" applyFont="1" applyBorder="1" applyAlignment="1" applyProtection="1">
      <alignment horizontal="center"/>
      <protection hidden="1"/>
    </xf>
    <xf numFmtId="0" fontId="54" fillId="46" borderId="45" xfId="0" applyFont="1" applyFill="1" applyBorder="1" applyProtection="1">
      <protection hidden="1"/>
    </xf>
    <xf numFmtId="0" fontId="54" fillId="0" borderId="149" xfId="0" applyFont="1" applyBorder="1" applyAlignment="1" applyProtection="1">
      <alignment horizontal="center" vertical="center"/>
      <protection hidden="1"/>
    </xf>
    <xf numFmtId="0" fontId="54" fillId="48" borderId="46" xfId="89" applyFont="1" applyFill="1" applyBorder="1" applyAlignment="1" applyProtection="1">
      <alignment horizontal="center" vertical="center"/>
      <protection hidden="1"/>
    </xf>
    <xf numFmtId="0" fontId="54" fillId="48" borderId="78" xfId="0" applyFont="1" applyFill="1" applyBorder="1" applyAlignment="1" applyProtection="1">
      <alignment horizontal="center" vertical="center"/>
      <protection hidden="1"/>
    </xf>
    <xf numFmtId="0" fontId="46" fillId="48" borderId="51" xfId="0" applyFont="1" applyFill="1" applyBorder="1" applyAlignment="1" applyProtection="1">
      <alignment horizontal="center"/>
      <protection hidden="1"/>
    </xf>
    <xf numFmtId="0" fontId="54" fillId="48" borderId="51" xfId="0" applyFont="1" applyFill="1" applyBorder="1" applyAlignment="1" applyProtection="1">
      <alignment horizontal="center" vertical="center"/>
      <protection hidden="1"/>
    </xf>
    <xf numFmtId="0" fontId="54" fillId="0" borderId="48" xfId="0" applyFont="1" applyBorder="1" applyAlignment="1" applyProtection="1">
      <alignment horizontal="center"/>
      <protection hidden="1"/>
    </xf>
    <xf numFmtId="0" fontId="103" fillId="0" borderId="49" xfId="0" applyFont="1" applyBorder="1" applyAlignment="1" applyProtection="1">
      <alignment horizontal="center"/>
      <protection hidden="1"/>
    </xf>
    <xf numFmtId="0" fontId="54" fillId="0" borderId="80" xfId="0" applyFont="1" applyBorder="1" applyAlignment="1" applyProtection="1">
      <alignment horizontal="center" vertical="center"/>
      <protection hidden="1"/>
    </xf>
    <xf numFmtId="0" fontId="54" fillId="46" borderId="56" xfId="0" applyFont="1" applyFill="1" applyBorder="1" applyProtection="1">
      <protection hidden="1"/>
    </xf>
    <xf numFmtId="0" fontId="131" fillId="0" borderId="28" xfId="0" applyFont="1" applyBorder="1" applyAlignment="1" applyProtection="1">
      <alignment horizontal="center"/>
      <protection hidden="1"/>
    </xf>
    <xf numFmtId="0" fontId="46" fillId="0" borderId="52" xfId="0" applyFont="1" applyBorder="1" applyProtection="1">
      <protection hidden="1"/>
    </xf>
    <xf numFmtId="0" fontId="131" fillId="48" borderId="52" xfId="0" applyFont="1" applyFill="1" applyBorder="1" applyAlignment="1" applyProtection="1">
      <alignment horizontal="center"/>
      <protection hidden="1"/>
    </xf>
    <xf numFmtId="0" fontId="131" fillId="48" borderId="23" xfId="0" applyFont="1" applyFill="1" applyBorder="1" applyAlignment="1" applyProtection="1">
      <alignment horizontal="center"/>
      <protection hidden="1"/>
    </xf>
    <xf numFmtId="0" fontId="54" fillId="0" borderId="55" xfId="0" applyFont="1" applyBorder="1" applyProtection="1">
      <protection hidden="1"/>
    </xf>
    <xf numFmtId="0" fontId="46" fillId="48" borderId="0" xfId="0" applyFont="1" applyFill="1" applyProtection="1">
      <protection hidden="1"/>
    </xf>
    <xf numFmtId="0" fontId="54" fillId="0" borderId="48" xfId="0" applyFont="1" applyBorder="1" applyAlignment="1">
      <alignment horizontal="center" vertical="center"/>
    </xf>
    <xf numFmtId="0" fontId="54" fillId="45" borderId="55" xfId="0" applyFont="1" applyFill="1" applyBorder="1" applyProtection="1">
      <protection hidden="1"/>
    </xf>
    <xf numFmtId="0" fontId="46" fillId="0" borderId="51" xfId="0" applyFont="1" applyBorder="1" applyAlignment="1" applyProtection="1">
      <alignment horizontal="center"/>
      <protection hidden="1"/>
    </xf>
    <xf numFmtId="0" fontId="46" fillId="0" borderId="53" xfId="0" applyFont="1" applyBorder="1" applyAlignment="1" applyProtection="1">
      <alignment horizontal="center"/>
      <protection hidden="1"/>
    </xf>
    <xf numFmtId="0" fontId="54" fillId="0" borderId="49" xfId="0" applyFont="1" applyBorder="1" applyAlignment="1">
      <alignment horizontal="center" vertical="center"/>
    </xf>
    <xf numFmtId="0" fontId="54" fillId="45" borderId="45" xfId="0" applyFont="1" applyFill="1" applyBorder="1" applyProtection="1">
      <protection hidden="1"/>
    </xf>
    <xf numFmtId="2" fontId="131" fillId="48" borderId="52" xfId="0" applyNumberFormat="1" applyFont="1" applyFill="1" applyBorder="1" applyAlignment="1" applyProtection="1">
      <alignment horizontal="center"/>
      <protection hidden="1"/>
    </xf>
    <xf numFmtId="4" fontId="46" fillId="43" borderId="0" xfId="0" applyNumberFormat="1" applyFont="1" applyFill="1" applyAlignment="1" applyProtection="1">
      <alignment horizontal="center"/>
      <protection hidden="1"/>
    </xf>
    <xf numFmtId="3" fontId="46" fillId="0" borderId="48" xfId="0" applyNumberFormat="1" applyFont="1" applyBorder="1" applyAlignment="1" applyProtection="1">
      <alignment horizontal="center"/>
      <protection hidden="1"/>
    </xf>
    <xf numFmtId="0" fontId="54" fillId="45" borderId="46" xfId="0" applyFont="1" applyFill="1" applyBorder="1" applyProtection="1">
      <protection hidden="1"/>
    </xf>
    <xf numFmtId="4" fontId="46" fillId="43" borderId="53" xfId="0" applyNumberFormat="1" applyFont="1" applyFill="1" applyBorder="1" applyAlignment="1" applyProtection="1">
      <alignment horizontal="center"/>
      <protection hidden="1"/>
    </xf>
    <xf numFmtId="3" fontId="46" fillId="0" borderId="49" xfId="0" applyNumberFormat="1" applyFont="1" applyBorder="1" applyAlignment="1" applyProtection="1">
      <alignment horizontal="center"/>
      <protection hidden="1"/>
    </xf>
    <xf numFmtId="4" fontId="37" fillId="48" borderId="52" xfId="83" applyNumberFormat="1" applyFont="1" applyFill="1" applyBorder="1" applyAlignment="1" applyProtection="1">
      <alignment horizontal="center"/>
      <protection hidden="1"/>
    </xf>
    <xf numFmtId="0" fontId="54" fillId="48" borderId="0" xfId="0" applyFont="1" applyFill="1" applyAlignment="1" applyProtection="1">
      <alignment vertical="center"/>
      <protection hidden="1"/>
    </xf>
    <xf numFmtId="2" fontId="54" fillId="43" borderId="0" xfId="0" applyNumberFormat="1" applyFont="1" applyFill="1" applyAlignment="1" applyProtection="1">
      <alignment horizontal="center" vertical="center"/>
      <protection hidden="1"/>
    </xf>
    <xf numFmtId="3" fontId="103" fillId="0" borderId="48" xfId="0" applyNumberFormat="1" applyFont="1" applyBorder="1" applyAlignment="1" applyProtection="1">
      <alignment horizontal="center" vertical="center"/>
      <protection hidden="1"/>
    </xf>
    <xf numFmtId="0" fontId="103" fillId="0" borderId="48" xfId="0" applyFont="1" applyBorder="1" applyAlignment="1" applyProtection="1">
      <alignment horizontal="center" vertical="center"/>
      <protection hidden="1"/>
    </xf>
    <xf numFmtId="0" fontId="54" fillId="48" borderId="53" xfId="0" applyFont="1" applyFill="1" applyBorder="1" applyAlignment="1" applyProtection="1">
      <alignment horizontal="center" vertical="center"/>
      <protection hidden="1"/>
    </xf>
    <xf numFmtId="2" fontId="54" fillId="43" borderId="53" xfId="0" applyNumberFormat="1" applyFont="1" applyFill="1" applyBorder="1" applyAlignment="1" applyProtection="1">
      <alignment horizontal="center" vertical="center"/>
      <protection hidden="1"/>
    </xf>
    <xf numFmtId="0" fontId="103" fillId="0" borderId="49" xfId="0" applyFont="1" applyBorder="1" applyAlignment="1" applyProtection="1">
      <alignment horizontal="center" vertical="center"/>
      <protection hidden="1"/>
    </xf>
    <xf numFmtId="3" fontId="54" fillId="0" borderId="0" xfId="0" quotePrefix="1" applyNumberFormat="1" applyFont="1" applyAlignment="1" applyProtection="1">
      <alignment horizontal="left" vertical="center"/>
      <protection hidden="1"/>
    </xf>
    <xf numFmtId="0" fontId="54" fillId="0" borderId="78" xfId="0" applyFont="1" applyBorder="1" applyAlignment="1" applyProtection="1">
      <alignment horizontal="center" vertical="center"/>
      <protection hidden="1"/>
    </xf>
    <xf numFmtId="0" fontId="133" fillId="0" borderId="0" xfId="84" applyFont="1" applyFill="1" applyBorder="1" applyAlignment="1" applyProtection="1">
      <alignment horizontal="left" vertical="center"/>
      <protection hidden="1"/>
    </xf>
    <xf numFmtId="168" fontId="131" fillId="0" borderId="0" xfId="0" applyNumberFormat="1" applyFont="1" applyAlignment="1">
      <alignment horizontal="left"/>
    </xf>
    <xf numFmtId="0" fontId="76" fillId="46" borderId="0" xfId="84" applyFont="1" applyFill="1" applyAlignment="1" applyProtection="1">
      <alignment horizontal="center" vertical="center"/>
      <protection locked="0" hidden="1"/>
    </xf>
    <xf numFmtId="0" fontId="76" fillId="46" borderId="0" xfId="84" applyNumberFormat="1" applyFont="1" applyFill="1" applyAlignment="1" applyProtection="1">
      <alignment horizontal="center" vertical="center"/>
      <protection locked="0" hidden="1"/>
    </xf>
    <xf numFmtId="2" fontId="40" fillId="0" borderId="0" xfId="0" applyNumberFormat="1" applyFont="1" applyAlignment="1" applyProtection="1">
      <alignment horizontal="right"/>
      <protection hidden="1"/>
    </xf>
    <xf numFmtId="0" fontId="40" fillId="0" borderId="0" xfId="0" applyFont="1" applyAlignment="1" applyProtection="1">
      <alignment horizontal="right"/>
      <protection hidden="1"/>
    </xf>
    <xf numFmtId="0" fontId="40" fillId="0" borderId="91" xfId="0" applyFont="1" applyBorder="1" applyAlignment="1" applyProtection="1">
      <alignment horizontal="center"/>
      <protection hidden="1"/>
    </xf>
    <xf numFmtId="0" fontId="40" fillId="0" borderId="0" xfId="0" applyFont="1" applyAlignment="1" applyProtection="1">
      <alignment horizontal="center"/>
      <protection hidden="1"/>
    </xf>
    <xf numFmtId="0" fontId="44" fillId="44" borderId="0" xfId="0" applyFont="1" applyFill="1" applyAlignment="1" applyProtection="1">
      <alignment horizontal="center"/>
      <protection hidden="1"/>
    </xf>
    <xf numFmtId="0" fontId="46" fillId="0" borderId="0" xfId="0" applyFont="1" applyAlignment="1" applyProtection="1">
      <alignment horizontal="center" vertical="center"/>
      <protection hidden="1"/>
    </xf>
    <xf numFmtId="3" fontId="54" fillId="0" borderId="0" xfId="0" applyNumberFormat="1" applyFont="1" applyAlignment="1" applyProtection="1">
      <alignment horizontal="center" vertical="center"/>
      <protection hidden="1"/>
    </xf>
    <xf numFmtId="0" fontId="44" fillId="0" borderId="85" xfId="0" applyFont="1" applyBorder="1" applyAlignment="1" applyProtection="1">
      <alignment horizontal="center"/>
      <protection locked="0" hidden="1"/>
    </xf>
    <xf numFmtId="0" fontId="44" fillId="0" borderId="44" xfId="0" applyFont="1" applyBorder="1" applyAlignment="1" applyProtection="1">
      <alignment horizontal="center"/>
      <protection locked="0" hidden="1"/>
    </xf>
    <xf numFmtId="0" fontId="44" fillId="0" borderId="86" xfId="0" applyFont="1" applyBorder="1" applyAlignment="1" applyProtection="1">
      <alignment horizontal="center"/>
      <protection locked="0" hidden="1"/>
    </xf>
    <xf numFmtId="0" fontId="44" fillId="0" borderId="114" xfId="0" quotePrefix="1" applyFont="1" applyBorder="1" applyAlignment="1" applyProtection="1">
      <alignment horizontal="center"/>
      <protection locked="0"/>
    </xf>
    <xf numFmtId="0" fontId="64" fillId="0" borderId="85" xfId="0" applyFont="1" applyBorder="1" applyAlignment="1" applyProtection="1">
      <alignment horizontal="center"/>
      <protection locked="0" hidden="1"/>
    </xf>
    <xf numFmtId="0" fontId="64" fillId="0" borderId="44" xfId="0" applyFont="1" applyBorder="1" applyAlignment="1" applyProtection="1">
      <alignment horizontal="center"/>
      <protection locked="0" hidden="1"/>
    </xf>
    <xf numFmtId="0" fontId="64" fillId="0" borderId="86" xfId="0" applyFont="1" applyBorder="1" applyAlignment="1" applyProtection="1">
      <alignment horizontal="center"/>
      <protection locked="0" hidden="1"/>
    </xf>
    <xf numFmtId="0" fontId="46" fillId="0" borderId="95" xfId="0" applyFont="1" applyBorder="1" applyAlignment="1" applyProtection="1">
      <alignment horizontal="center" vertical="center"/>
      <protection hidden="1"/>
    </xf>
    <xf numFmtId="4" fontId="40" fillId="0" borderId="0" xfId="0" applyNumberFormat="1" applyFont="1" applyAlignment="1" applyProtection="1">
      <alignment horizontal="center"/>
      <protection hidden="1"/>
    </xf>
    <xf numFmtId="165" fontId="54" fillId="0" borderId="0" xfId="0" applyNumberFormat="1" applyFont="1" applyAlignment="1" applyProtection="1">
      <alignment horizontal="left" vertical="center"/>
      <protection hidden="1"/>
    </xf>
    <xf numFmtId="0" fontId="54" fillId="0" borderId="0" xfId="0" applyFont="1" applyAlignment="1" applyProtection="1">
      <alignment horizontal="right" vertical="center"/>
      <protection hidden="1"/>
    </xf>
    <xf numFmtId="0" fontId="95" fillId="81" borderId="0" xfId="0" applyFont="1" applyFill="1" applyAlignment="1" applyProtection="1">
      <alignment horizontal="center" vertical="center"/>
      <protection hidden="1"/>
    </xf>
    <xf numFmtId="0" fontId="44" fillId="0" borderId="13" xfId="0" applyFont="1" applyBorder="1" applyAlignment="1" applyProtection="1">
      <alignment horizontal="center"/>
      <protection locked="0"/>
    </xf>
    <xf numFmtId="0" fontId="40" fillId="0" borderId="141" xfId="0" applyFont="1" applyBorder="1" applyAlignment="1" applyProtection="1">
      <alignment horizontal="center"/>
      <protection hidden="1"/>
    </xf>
    <xf numFmtId="0" fontId="43" fillId="46" borderId="57" xfId="0" applyFont="1" applyFill="1" applyBorder="1" applyAlignment="1" applyProtection="1">
      <alignment horizontal="center" vertical="center"/>
      <protection hidden="1"/>
    </xf>
    <xf numFmtId="0" fontId="43" fillId="46" borderId="58" xfId="0" applyFont="1" applyFill="1" applyBorder="1" applyAlignment="1" applyProtection="1">
      <alignment horizontal="center" vertical="center"/>
      <protection hidden="1"/>
    </xf>
    <xf numFmtId="0" fontId="43" fillId="46" borderId="59" xfId="0" applyFont="1" applyFill="1" applyBorder="1" applyAlignment="1" applyProtection="1">
      <alignment horizontal="center" vertical="center"/>
      <protection hidden="1"/>
    </xf>
    <xf numFmtId="1" fontId="44" fillId="0" borderId="13" xfId="0" applyNumberFormat="1" applyFont="1" applyBorder="1" applyAlignment="1" applyProtection="1">
      <alignment horizontal="center"/>
      <protection locked="0"/>
    </xf>
    <xf numFmtId="0" fontId="40" fillId="46" borderId="0" xfId="0" applyFont="1" applyFill="1" applyAlignment="1" applyProtection="1">
      <alignment horizontal="center" vertical="center" wrapText="1"/>
      <protection hidden="1"/>
    </xf>
    <xf numFmtId="0" fontId="40" fillId="46" borderId="32" xfId="0" applyFont="1" applyFill="1" applyBorder="1" applyAlignment="1" applyProtection="1">
      <alignment horizontal="center" vertical="center" wrapText="1"/>
      <protection hidden="1"/>
    </xf>
    <xf numFmtId="0" fontId="46" fillId="0" borderId="28" xfId="0" applyFont="1" applyBorder="1" applyAlignment="1" applyProtection="1">
      <alignment horizontal="center"/>
      <protection hidden="1"/>
    </xf>
    <xf numFmtId="0" fontId="46" fillId="0" borderId="52" xfId="0" applyFont="1" applyBorder="1" applyAlignment="1" applyProtection="1">
      <alignment horizontal="center"/>
      <protection hidden="1"/>
    </xf>
    <xf numFmtId="165" fontId="42" fillId="0" borderId="0" xfId="0" applyNumberFormat="1" applyFont="1" applyAlignment="1" applyProtection="1">
      <alignment horizontal="left"/>
      <protection hidden="1"/>
    </xf>
    <xf numFmtId="49" fontId="44" fillId="0" borderId="124" xfId="0" applyNumberFormat="1" applyFont="1" applyBorder="1" applyAlignment="1" applyProtection="1">
      <alignment horizontal="center"/>
      <protection locked="0"/>
    </xf>
    <xf numFmtId="0" fontId="46" fillId="0" borderId="23" xfId="0" applyFont="1" applyBorder="1" applyAlignment="1" applyProtection="1">
      <alignment horizontal="center"/>
      <protection hidden="1"/>
    </xf>
    <xf numFmtId="0" fontId="44" fillId="0" borderId="104" xfId="0" applyFont="1" applyBorder="1" applyAlignment="1" applyProtection="1">
      <alignment horizontal="center" vertical="center"/>
      <protection locked="0" hidden="1"/>
    </xf>
    <xf numFmtId="0" fontId="44" fillId="0" borderId="105" xfId="0" applyFont="1" applyBorder="1" applyAlignment="1" applyProtection="1">
      <alignment horizontal="center" vertical="center"/>
      <protection locked="0" hidden="1"/>
    </xf>
    <xf numFmtId="0" fontId="42" fillId="0" borderId="19" xfId="0" applyFont="1" applyBorder="1" applyAlignment="1" applyProtection="1">
      <alignment horizontal="right"/>
      <protection hidden="1"/>
    </xf>
    <xf numFmtId="0" fontId="42" fillId="0" borderId="0" xfId="0" applyFont="1" applyAlignment="1" applyProtection="1">
      <alignment horizontal="right"/>
      <protection hidden="1"/>
    </xf>
    <xf numFmtId="0" fontId="42" fillId="0" borderId="31" xfId="0" applyFont="1" applyBorder="1" applyAlignment="1" applyProtection="1">
      <alignment horizontal="right"/>
      <protection hidden="1"/>
    </xf>
    <xf numFmtId="0" fontId="42" fillId="0" borderId="32" xfId="0" applyFont="1" applyBorder="1" applyAlignment="1" applyProtection="1">
      <alignment horizontal="right"/>
      <protection hidden="1"/>
    </xf>
    <xf numFmtId="0" fontId="53" fillId="0" borderId="19" xfId="0" applyFont="1" applyBorder="1" applyAlignment="1" applyProtection="1">
      <alignment horizontal="center"/>
      <protection hidden="1"/>
    </xf>
    <xf numFmtId="0" fontId="53" fillId="0" borderId="0" xfId="0" applyFont="1" applyAlignment="1" applyProtection="1">
      <alignment horizontal="center"/>
      <protection hidden="1"/>
    </xf>
    <xf numFmtId="0" fontId="53" fillId="0" borderId="20" xfId="0" applyFont="1" applyBorder="1" applyAlignment="1" applyProtection="1">
      <alignment horizontal="center"/>
      <protection hidden="1"/>
    </xf>
    <xf numFmtId="0" fontId="101" fillId="46" borderId="17" xfId="0" applyFont="1" applyFill="1" applyBorder="1" applyAlignment="1" applyProtection="1">
      <alignment horizontal="center" vertical="center"/>
      <protection hidden="1"/>
    </xf>
    <xf numFmtId="0" fontId="101" fillId="46" borderId="103" xfId="0" applyFont="1" applyFill="1" applyBorder="1" applyAlignment="1" applyProtection="1">
      <alignment horizontal="center" vertical="center"/>
      <protection hidden="1"/>
    </xf>
    <xf numFmtId="0" fontId="50" fillId="0" borderId="85" xfId="89" applyFont="1" applyBorder="1" applyAlignment="1" applyProtection="1">
      <alignment horizontal="center" vertical="center"/>
      <protection locked="0" hidden="1"/>
    </xf>
    <xf numFmtId="0" fontId="50" fillId="0" borderId="86" xfId="89" applyFont="1" applyBorder="1" applyAlignment="1" applyProtection="1">
      <alignment horizontal="center" vertical="center"/>
      <protection locked="0" hidden="1"/>
    </xf>
    <xf numFmtId="0" fontId="54" fillId="0" borderId="0" xfId="0" applyFont="1" applyAlignment="1" applyProtection="1">
      <alignment horizontal="center" vertical="center"/>
      <protection hidden="1"/>
    </xf>
    <xf numFmtId="0" fontId="42" fillId="46" borderId="97" xfId="0" applyFont="1" applyFill="1" applyBorder="1" applyAlignment="1" applyProtection="1">
      <alignment horizontal="center" vertical="center"/>
      <protection hidden="1"/>
    </xf>
    <xf numFmtId="0" fontId="42" fillId="46" borderId="58" xfId="0" applyFont="1" applyFill="1" applyBorder="1" applyAlignment="1" applyProtection="1">
      <alignment horizontal="center" vertical="center"/>
      <protection hidden="1"/>
    </xf>
    <xf numFmtId="0" fontId="42" fillId="46" borderId="99" xfId="0" applyFont="1" applyFill="1" applyBorder="1" applyAlignment="1" applyProtection="1">
      <alignment horizontal="center" vertical="center"/>
      <protection hidden="1"/>
    </xf>
    <xf numFmtId="0" fontId="42" fillId="46" borderId="0" xfId="0" applyFont="1" applyFill="1" applyAlignment="1" applyProtection="1">
      <alignment horizontal="center" vertical="center"/>
      <protection hidden="1"/>
    </xf>
    <xf numFmtId="0" fontId="42" fillId="46" borderId="122" xfId="0" applyFont="1" applyFill="1" applyBorder="1" applyAlignment="1" applyProtection="1">
      <alignment horizontal="center" vertical="center"/>
      <protection hidden="1"/>
    </xf>
    <xf numFmtId="0" fontId="42" fillId="46" borderId="27" xfId="0" applyFont="1" applyFill="1" applyBorder="1" applyAlignment="1" applyProtection="1">
      <alignment horizontal="center" vertical="center"/>
      <protection hidden="1"/>
    </xf>
    <xf numFmtId="0" fontId="44" fillId="0" borderId="44" xfId="0" applyFont="1" applyBorder="1" applyAlignment="1" applyProtection="1">
      <alignment horizontal="center"/>
      <protection locked="0"/>
    </xf>
    <xf numFmtId="0" fontId="40" fillId="0" borderId="0" xfId="0" applyFont="1" applyAlignment="1" applyProtection="1">
      <alignment horizontal="justify" vertical="center"/>
      <protection hidden="1"/>
    </xf>
    <xf numFmtId="0" fontId="115" fillId="0" borderId="32" xfId="84" applyFont="1" applyBorder="1" applyAlignment="1" applyProtection="1">
      <alignment horizontal="left" vertical="center"/>
      <protection locked="0"/>
    </xf>
    <xf numFmtId="0" fontId="115" fillId="0" borderId="102" xfId="84" applyFont="1" applyBorder="1" applyAlignment="1" applyProtection="1">
      <alignment horizontal="left" vertical="center"/>
      <protection locked="0"/>
    </xf>
    <xf numFmtId="0" fontId="40" fillId="0" borderId="32" xfId="84" applyFont="1" applyFill="1" applyBorder="1" applyAlignment="1" applyProtection="1">
      <alignment horizontal="right" vertical="center"/>
      <protection hidden="1"/>
    </xf>
    <xf numFmtId="0" fontId="43" fillId="0" borderId="0" xfId="84" applyFont="1" applyFill="1" applyBorder="1" applyAlignment="1" applyProtection="1">
      <alignment horizontal="center" vertical="center"/>
      <protection hidden="1"/>
    </xf>
    <xf numFmtId="0" fontId="43" fillId="0" borderId="100" xfId="84" applyFont="1" applyFill="1" applyBorder="1" applyAlignment="1" applyProtection="1">
      <alignment horizontal="center" vertical="center"/>
      <protection hidden="1"/>
    </xf>
    <xf numFmtId="165" fontId="44" fillId="0" borderId="44" xfId="0" applyNumberFormat="1" applyFont="1" applyBorder="1" applyAlignment="1" applyProtection="1">
      <alignment horizontal="center"/>
      <protection locked="0"/>
    </xf>
    <xf numFmtId="0" fontId="60" fillId="0" borderId="0" xfId="84" applyFont="1" applyBorder="1" applyAlignment="1" applyProtection="1">
      <alignment horizontal="left" vertical="center"/>
      <protection locked="0"/>
    </xf>
    <xf numFmtId="0" fontId="60" fillId="0" borderId="100" xfId="84" applyFont="1" applyBorder="1" applyAlignment="1" applyProtection="1">
      <alignment horizontal="left" vertical="center"/>
      <protection locked="0"/>
    </xf>
    <xf numFmtId="0" fontId="40" fillId="0" borderId="0" xfId="84" applyFont="1" applyFill="1" applyBorder="1" applyAlignment="1" applyProtection="1">
      <alignment horizontal="center" vertical="center" wrapText="1"/>
      <protection hidden="1"/>
    </xf>
    <xf numFmtId="0" fontId="40" fillId="0" borderId="100" xfId="84" applyFont="1" applyFill="1" applyBorder="1" applyAlignment="1" applyProtection="1">
      <alignment horizontal="center" vertical="center" wrapText="1"/>
      <protection hidden="1"/>
    </xf>
    <xf numFmtId="0" fontId="42" fillId="0" borderId="0" xfId="0" applyFont="1" applyAlignment="1" applyProtection="1">
      <alignment horizontal="center"/>
      <protection hidden="1"/>
    </xf>
    <xf numFmtId="0" fontId="42" fillId="46" borderId="101" xfId="0" applyFont="1" applyFill="1" applyBorder="1" applyAlignment="1" applyProtection="1">
      <alignment horizontal="center" vertical="center"/>
      <protection hidden="1"/>
    </xf>
    <xf numFmtId="0" fontId="42" fillId="46" borderId="32" xfId="0" applyFont="1" applyFill="1" applyBorder="1" applyAlignment="1" applyProtection="1">
      <alignment horizontal="center" vertical="center"/>
      <protection hidden="1"/>
    </xf>
    <xf numFmtId="0" fontId="40" fillId="0" borderId="58" xfId="84" applyFont="1" applyFill="1" applyBorder="1" applyAlignment="1" applyProtection="1">
      <alignment horizontal="right" vertical="center"/>
      <protection hidden="1"/>
    </xf>
    <xf numFmtId="0" fontId="58" fillId="0" borderId="0" xfId="0" applyFont="1" applyAlignment="1">
      <alignment horizontal="right" vertical="center"/>
    </xf>
    <xf numFmtId="0" fontId="49" fillId="0" borderId="27" xfId="84" applyFont="1" applyFill="1" applyBorder="1" applyAlignment="1" applyProtection="1">
      <alignment horizontal="left" vertical="center"/>
      <protection locked="0"/>
    </xf>
    <xf numFmtId="0" fontId="49" fillId="0" borderId="123" xfId="84" applyFont="1" applyFill="1" applyBorder="1" applyAlignment="1" applyProtection="1">
      <alignment horizontal="left" vertical="center"/>
      <protection locked="0"/>
    </xf>
    <xf numFmtId="0" fontId="44" fillId="0" borderId="44" xfId="0" applyFont="1" applyBorder="1" applyAlignment="1" applyProtection="1">
      <alignment horizontal="left" vertical="center"/>
      <protection locked="0"/>
    </xf>
    <xf numFmtId="0" fontId="106" fillId="0" borderId="99" xfId="0" applyFont="1" applyBorder="1" applyAlignment="1">
      <alignment horizontal="right"/>
    </xf>
    <xf numFmtId="0" fontId="106" fillId="0" borderId="0" xfId="0" applyFont="1" applyAlignment="1">
      <alignment horizontal="right"/>
    </xf>
    <xf numFmtId="0" fontId="106" fillId="0" borderId="99" xfId="0" applyFont="1" applyBorder="1" applyAlignment="1" applyProtection="1">
      <alignment horizontal="right"/>
      <protection hidden="1"/>
    </xf>
    <xf numFmtId="0" fontId="106" fillId="0" borderId="0" xfId="0" applyFont="1" applyAlignment="1" applyProtection="1">
      <alignment horizontal="right"/>
      <protection hidden="1"/>
    </xf>
    <xf numFmtId="4" fontId="106" fillId="0" borderId="22" xfId="0" applyNumberFormat="1" applyFont="1" applyBorder="1" applyAlignment="1" applyProtection="1">
      <alignment horizontal="center"/>
      <protection hidden="1"/>
    </xf>
    <xf numFmtId="4" fontId="106" fillId="0" borderId="0" xfId="0" applyNumberFormat="1" applyFont="1" applyAlignment="1" applyProtection="1">
      <alignment horizontal="center"/>
      <protection hidden="1"/>
    </xf>
    <xf numFmtId="4" fontId="106" fillId="0" borderId="53" xfId="0" applyNumberFormat="1" applyFont="1" applyBorder="1" applyAlignment="1" applyProtection="1">
      <alignment horizontal="center"/>
      <protection hidden="1"/>
    </xf>
    <xf numFmtId="4" fontId="42" fillId="0" borderId="32" xfId="0" applyNumberFormat="1" applyFont="1" applyBorder="1" applyAlignment="1" applyProtection="1">
      <alignment horizontal="center"/>
      <protection hidden="1"/>
    </xf>
    <xf numFmtId="4" fontId="42" fillId="0" borderId="0" xfId="0" applyNumberFormat="1" applyFont="1" applyAlignment="1" applyProtection="1">
      <alignment horizontal="center"/>
      <protection hidden="1"/>
    </xf>
    <xf numFmtId="0" fontId="49" fillId="46" borderId="58" xfId="84" applyFont="1" applyFill="1" applyBorder="1" applyAlignment="1" applyProtection="1">
      <alignment horizontal="center" vertical="center"/>
      <protection locked="0" hidden="1"/>
    </xf>
    <xf numFmtId="0" fontId="45" fillId="0" borderId="58" xfId="0" applyFont="1" applyBorder="1" applyAlignment="1" applyProtection="1">
      <alignment horizontal="center"/>
      <protection hidden="1"/>
    </xf>
    <xf numFmtId="4" fontId="42" fillId="46" borderId="117" xfId="0" applyNumberFormat="1" applyFont="1" applyFill="1" applyBorder="1" applyAlignment="1" applyProtection="1">
      <alignment horizontal="center" vertical="center"/>
      <protection hidden="1"/>
    </xf>
    <xf numFmtId="4" fontId="42" fillId="46" borderId="118" xfId="0" applyNumberFormat="1" applyFont="1" applyFill="1" applyBorder="1" applyAlignment="1" applyProtection="1">
      <alignment horizontal="center" vertical="center"/>
      <protection hidden="1"/>
    </xf>
    <xf numFmtId="4" fontId="42" fillId="46" borderId="116" xfId="0" applyNumberFormat="1" applyFont="1" applyFill="1" applyBorder="1" applyAlignment="1" applyProtection="1">
      <alignment horizontal="center" vertical="center"/>
      <protection hidden="1"/>
    </xf>
    <xf numFmtId="4" fontId="78" fillId="47" borderId="137" xfId="0" applyNumberFormat="1" applyFont="1" applyFill="1" applyBorder="1" applyAlignment="1" applyProtection="1">
      <alignment horizontal="center"/>
      <protection hidden="1"/>
    </xf>
    <xf numFmtId="4" fontId="78" fillId="47" borderId="140" xfId="0" applyNumberFormat="1" applyFont="1" applyFill="1" applyBorder="1" applyAlignment="1" applyProtection="1">
      <alignment horizontal="center"/>
      <protection hidden="1"/>
    </xf>
    <xf numFmtId="165" fontId="32" fillId="0" borderId="32" xfId="0" applyNumberFormat="1" applyFont="1" applyBorder="1" applyAlignment="1" applyProtection="1">
      <alignment horizontal="right"/>
      <protection hidden="1"/>
    </xf>
    <xf numFmtId="165" fontId="32" fillId="0" borderId="58" xfId="0" applyNumberFormat="1" applyFont="1" applyBorder="1" applyAlignment="1" applyProtection="1">
      <alignment horizontal="right" vertical="center"/>
      <protection hidden="1"/>
    </xf>
    <xf numFmtId="0" fontId="42" fillId="0" borderId="99" xfId="0" applyFont="1" applyBorder="1" applyAlignment="1">
      <alignment horizontal="right"/>
    </xf>
    <xf numFmtId="0" fontId="42" fillId="0" borderId="0" xfId="0" applyFont="1" applyAlignment="1">
      <alignment horizontal="right"/>
    </xf>
    <xf numFmtId="0" fontId="42" fillId="0" borderId="101" xfId="0" applyFont="1" applyBorder="1" applyAlignment="1" applyProtection="1">
      <alignment horizontal="right"/>
      <protection hidden="1"/>
    </xf>
    <xf numFmtId="9" fontId="78" fillId="0" borderId="32" xfId="0" applyNumberFormat="1" applyFont="1" applyBorder="1" applyAlignment="1" applyProtection="1">
      <alignment horizontal="center"/>
      <protection hidden="1"/>
    </xf>
    <xf numFmtId="9" fontId="78" fillId="0" borderId="58" xfId="0" applyNumberFormat="1" applyFont="1" applyBorder="1" applyAlignment="1" applyProtection="1">
      <alignment horizontal="center"/>
      <protection hidden="1"/>
    </xf>
    <xf numFmtId="0" fontId="42" fillId="0" borderId="69" xfId="83" applyFont="1" applyBorder="1" applyAlignment="1" applyProtection="1">
      <alignment horizontal="center" vertical="center"/>
      <protection hidden="1"/>
    </xf>
    <xf numFmtId="0" fontId="42" fillId="0" borderId="71" xfId="83" applyFont="1" applyBorder="1" applyAlignment="1" applyProtection="1">
      <alignment horizontal="center" vertical="center"/>
      <protection hidden="1"/>
    </xf>
    <xf numFmtId="0" fontId="40" fillId="0" borderId="0" xfId="83" applyFont="1" applyAlignment="1" applyProtection="1">
      <alignment horizontal="justify" vertical="center"/>
      <protection hidden="1"/>
    </xf>
    <xf numFmtId="0" fontId="42" fillId="0" borderId="69" xfId="89" applyFont="1" applyBorder="1" applyAlignment="1" applyProtection="1">
      <alignment horizontal="center" vertical="center"/>
      <protection hidden="1"/>
    </xf>
    <xf numFmtId="0" fontId="42" fillId="0" borderId="70" xfId="89" applyFont="1" applyBorder="1" applyAlignment="1" applyProtection="1">
      <alignment horizontal="center" vertical="center"/>
      <protection hidden="1"/>
    </xf>
    <xf numFmtId="0" fontId="42" fillId="0" borderId="71" xfId="89" applyFont="1" applyBorder="1" applyAlignment="1" applyProtection="1">
      <alignment horizontal="center" vertical="center"/>
      <protection hidden="1"/>
    </xf>
    <xf numFmtId="0" fontId="32" fillId="0" borderId="69" xfId="0" applyFont="1" applyBorder="1" applyAlignment="1" applyProtection="1">
      <alignment horizontal="center"/>
      <protection hidden="1"/>
    </xf>
    <xf numFmtId="0" fontId="32" fillId="0" borderId="71" xfId="0" applyFont="1" applyBorder="1" applyAlignment="1" applyProtection="1">
      <alignment horizontal="center"/>
      <protection hidden="1"/>
    </xf>
    <xf numFmtId="0" fontId="42" fillId="0" borderId="69" xfId="89" applyFont="1" applyBorder="1" applyAlignment="1" applyProtection="1">
      <alignment horizontal="center"/>
      <protection hidden="1"/>
    </xf>
    <xf numFmtId="0" fontId="42" fillId="0" borderId="71" xfId="89" applyFont="1" applyBorder="1" applyAlignment="1" applyProtection="1">
      <alignment horizontal="center"/>
      <protection hidden="1"/>
    </xf>
    <xf numFmtId="0" fontId="42" fillId="46" borderId="34" xfId="83" applyFont="1" applyFill="1" applyBorder="1" applyAlignment="1" applyProtection="1">
      <alignment horizontal="center" vertical="center"/>
      <protection locked="0" hidden="1"/>
    </xf>
    <xf numFmtId="0" fontId="42" fillId="46" borderId="0" xfId="83" applyFont="1" applyFill="1" applyAlignment="1" applyProtection="1">
      <alignment horizontal="center" vertical="center"/>
      <protection locked="0" hidden="1"/>
    </xf>
    <xf numFmtId="0" fontId="42" fillId="0" borderId="38" xfId="83" applyFont="1" applyBorder="1" applyAlignment="1" applyProtection="1">
      <alignment horizontal="center" vertical="center"/>
      <protection hidden="1"/>
    </xf>
    <xf numFmtId="0" fontId="42" fillId="0" borderId="39" xfId="83" applyFont="1" applyBorder="1" applyAlignment="1" applyProtection="1">
      <alignment horizontal="center" vertical="center"/>
      <protection hidden="1"/>
    </xf>
    <xf numFmtId="0" fontId="42" fillId="0" borderId="82" xfId="83" applyFont="1" applyBorder="1" applyAlignment="1" applyProtection="1">
      <alignment horizontal="center" vertical="center"/>
      <protection hidden="1"/>
    </xf>
    <xf numFmtId="0" fontId="42" fillId="0" borderId="83" xfId="83" applyFont="1" applyBorder="1" applyAlignment="1" applyProtection="1">
      <alignment horizontal="center" vertical="center"/>
      <protection hidden="1"/>
    </xf>
    <xf numFmtId="0" fontId="42" fillId="0" borderId="40" xfId="83" applyFont="1" applyBorder="1" applyAlignment="1" applyProtection="1">
      <alignment horizontal="center" vertical="center"/>
      <protection hidden="1"/>
    </xf>
    <xf numFmtId="0" fontId="42" fillId="0" borderId="41" xfId="83" applyFont="1" applyBorder="1" applyAlignment="1" applyProtection="1">
      <alignment horizontal="center" vertical="center"/>
      <protection hidden="1"/>
    </xf>
    <xf numFmtId="166" fontId="40" fillId="0" borderId="40" xfId="83" applyNumberFormat="1" applyFont="1" applyBorder="1" applyAlignment="1" applyProtection="1">
      <alignment horizontal="center" vertical="center"/>
      <protection hidden="1"/>
    </xf>
    <xf numFmtId="166" fontId="40" fillId="0" borderId="41" xfId="83" applyNumberFormat="1" applyFont="1" applyBorder="1" applyAlignment="1" applyProtection="1">
      <alignment horizontal="center" vertical="center"/>
      <protection hidden="1"/>
    </xf>
    <xf numFmtId="0" fontId="40" fillId="0" borderId="0" xfId="83" applyFont="1" applyAlignment="1" applyProtection="1">
      <alignment horizontal="justify" vertical="top"/>
      <protection hidden="1"/>
    </xf>
    <xf numFmtId="166" fontId="40" fillId="0" borderId="72" xfId="89" applyNumberFormat="1" applyFont="1" applyBorder="1" applyAlignment="1" applyProtection="1">
      <alignment horizontal="center"/>
      <protection hidden="1"/>
    </xf>
    <xf numFmtId="166" fontId="40" fillId="0" borderId="74" xfId="89" applyNumberFormat="1" applyFont="1" applyBorder="1" applyAlignment="1" applyProtection="1">
      <alignment horizontal="center"/>
      <protection hidden="1"/>
    </xf>
    <xf numFmtId="166" fontId="40" fillId="0" borderId="73" xfId="83" applyNumberFormat="1" applyFont="1" applyBorder="1" applyAlignment="1" applyProtection="1">
      <alignment horizontal="center"/>
      <protection hidden="1"/>
    </xf>
    <xf numFmtId="166" fontId="40" fillId="0" borderId="74" xfId="83" applyNumberFormat="1" applyFont="1" applyBorder="1" applyAlignment="1" applyProtection="1">
      <alignment horizontal="center"/>
      <protection hidden="1"/>
    </xf>
    <xf numFmtId="166" fontId="40" fillId="0" borderId="72" xfId="83" applyNumberFormat="1" applyFont="1" applyBorder="1" applyAlignment="1" applyProtection="1">
      <alignment horizontal="center" vertical="center"/>
      <protection hidden="1"/>
    </xf>
    <xf numFmtId="166" fontId="40" fillId="0" borderId="73" xfId="83" applyNumberFormat="1" applyFont="1" applyBorder="1" applyAlignment="1" applyProtection="1">
      <alignment horizontal="center" vertical="center"/>
      <protection hidden="1"/>
    </xf>
    <xf numFmtId="166" fontId="40" fillId="0" borderId="74" xfId="83" applyNumberFormat="1" applyFont="1" applyBorder="1" applyAlignment="1" applyProtection="1">
      <alignment horizontal="center" vertical="center"/>
      <protection hidden="1"/>
    </xf>
    <xf numFmtId="0" fontId="40" fillId="0" borderId="0" xfId="83" applyFont="1" applyAlignment="1" applyProtection="1">
      <alignment horizontal="justify" vertical="center" wrapText="1"/>
      <protection hidden="1"/>
    </xf>
    <xf numFmtId="0" fontId="42" fillId="46" borderId="0" xfId="83" applyFont="1" applyFill="1" applyAlignment="1" applyProtection="1">
      <alignment horizontal="right" vertical="center"/>
      <protection locked="0" hidden="1"/>
    </xf>
    <xf numFmtId="0" fontId="42" fillId="46" borderId="73" xfId="83" applyFont="1" applyFill="1" applyBorder="1" applyAlignment="1" applyProtection="1">
      <alignment horizontal="right" vertical="center"/>
      <protection locked="0" hidden="1"/>
    </xf>
    <xf numFmtId="166" fontId="40" fillId="0" borderId="113" xfId="83" applyNumberFormat="1" applyFont="1" applyBorder="1" applyAlignment="1" applyProtection="1">
      <alignment horizontal="center" vertical="center"/>
      <protection hidden="1"/>
    </xf>
    <xf numFmtId="0" fontId="42" fillId="0" borderId="112" xfId="83" applyFont="1" applyBorder="1" applyAlignment="1" applyProtection="1">
      <alignment horizontal="center" vertical="center"/>
      <protection hidden="1"/>
    </xf>
    <xf numFmtId="166" fontId="40" fillId="0" borderId="113" xfId="83" applyNumberFormat="1" applyFont="1" applyBorder="1" applyAlignment="1" applyProtection="1">
      <alignment horizontal="center"/>
      <protection hidden="1"/>
    </xf>
    <xf numFmtId="166" fontId="40" fillId="0" borderId="89" xfId="83" applyNumberFormat="1" applyFont="1" applyBorder="1" applyAlignment="1" applyProtection="1">
      <alignment horizontal="center" vertical="center"/>
      <protection hidden="1"/>
    </xf>
    <xf numFmtId="0" fontId="42" fillId="0" borderId="96" xfId="83" applyFont="1" applyBorder="1" applyAlignment="1" applyProtection="1">
      <alignment horizontal="center" vertical="center"/>
      <protection hidden="1"/>
    </xf>
    <xf numFmtId="166" fontId="40" fillId="0" borderId="40" xfId="83" applyNumberFormat="1" applyFont="1" applyBorder="1" applyAlignment="1" applyProtection="1">
      <alignment horizontal="center"/>
      <protection hidden="1"/>
    </xf>
    <xf numFmtId="0" fontId="42" fillId="0" borderId="112" xfId="83" applyFont="1" applyBorder="1" applyAlignment="1" applyProtection="1">
      <alignment horizontal="center"/>
      <protection hidden="1"/>
    </xf>
    <xf numFmtId="0" fontId="42" fillId="0" borderId="38" xfId="83" applyFont="1" applyBorder="1" applyAlignment="1" applyProtection="1">
      <alignment horizontal="center"/>
      <protection hidden="1"/>
    </xf>
    <xf numFmtId="166" fontId="40" fillId="0" borderId="41" xfId="83" applyNumberFormat="1" applyFont="1" applyBorder="1" applyAlignment="1" applyProtection="1">
      <alignment horizontal="center"/>
      <protection hidden="1"/>
    </xf>
    <xf numFmtId="0" fontId="42" fillId="0" borderId="39" xfId="83" applyFont="1" applyBorder="1" applyAlignment="1" applyProtection="1">
      <alignment horizontal="center"/>
      <protection hidden="1"/>
    </xf>
    <xf numFmtId="0" fontId="42" fillId="46" borderId="0" xfId="0" applyFont="1" applyFill="1" applyAlignment="1" applyProtection="1">
      <alignment horizontal="center" vertical="center"/>
      <protection locked="0" hidden="1"/>
    </xf>
    <xf numFmtId="0" fontId="42" fillId="0" borderId="0" xfId="83" applyFont="1" applyAlignment="1" applyProtection="1">
      <alignment horizontal="right"/>
      <protection hidden="1"/>
    </xf>
    <xf numFmtId="0" fontId="42" fillId="46" borderId="0" xfId="89" applyFont="1" applyFill="1" applyAlignment="1" applyProtection="1">
      <alignment horizontal="center" vertical="center"/>
      <protection locked="0" hidden="1"/>
    </xf>
    <xf numFmtId="165" fontId="44" fillId="0" borderId="53" xfId="83" applyNumberFormat="1" applyFont="1" applyBorder="1" applyAlignment="1" applyProtection="1">
      <alignment horizontal="center" vertical="center"/>
      <protection hidden="1"/>
    </xf>
    <xf numFmtId="0" fontId="42" fillId="0" borderId="72" xfId="83" applyFont="1" applyBorder="1" applyAlignment="1" applyProtection="1">
      <alignment horizontal="center" vertical="center"/>
      <protection hidden="1"/>
    </xf>
    <xf numFmtId="0" fontId="42" fillId="0" borderId="74" xfId="83" applyFont="1" applyBorder="1" applyAlignment="1" applyProtection="1">
      <alignment horizontal="center" vertical="center"/>
      <protection hidden="1"/>
    </xf>
    <xf numFmtId="0" fontId="112" fillId="0" borderId="0" xfId="83" applyFont="1" applyAlignment="1" applyProtection="1">
      <alignment horizontal="center" vertical="center"/>
      <protection locked="0" hidden="1"/>
    </xf>
    <xf numFmtId="0" fontId="42" fillId="46" borderId="0" xfId="83" applyFont="1" applyFill="1" applyAlignment="1" applyProtection="1">
      <alignment horizontal="center" vertical="center"/>
      <protection hidden="1"/>
    </xf>
    <xf numFmtId="166" fontId="40" fillId="0" borderId="73" xfId="89" applyNumberFormat="1" applyFont="1" applyBorder="1" applyAlignment="1" applyProtection="1">
      <alignment horizontal="center"/>
      <protection hidden="1"/>
    </xf>
    <xf numFmtId="0" fontId="40" fillId="0" borderId="0" xfId="83" applyFont="1" applyAlignment="1" applyProtection="1">
      <alignment horizontal="justify" vertical="top" wrapText="1"/>
      <protection hidden="1"/>
    </xf>
    <xf numFmtId="166" fontId="33" fillId="0" borderId="36" xfId="0" applyNumberFormat="1" applyFont="1" applyBorder="1" applyAlignment="1" applyProtection="1">
      <alignment horizontal="left"/>
      <protection hidden="1"/>
    </xf>
    <xf numFmtId="166" fontId="33" fillId="0" borderId="37" xfId="0" applyNumberFormat="1" applyFont="1" applyBorder="1" applyAlignment="1" applyProtection="1">
      <alignment horizontal="left"/>
      <protection hidden="1"/>
    </xf>
    <xf numFmtId="0" fontId="42" fillId="0" borderId="38" xfId="89" applyFont="1" applyBorder="1" applyAlignment="1" applyProtection="1">
      <alignment horizontal="center" vertical="center"/>
      <protection hidden="1"/>
    </xf>
    <xf numFmtId="0" fontId="42" fillId="0" borderId="39" xfId="89" applyFont="1" applyBorder="1" applyAlignment="1" applyProtection="1">
      <alignment horizontal="center" vertical="center"/>
      <protection hidden="1"/>
    </xf>
    <xf numFmtId="0" fontId="42" fillId="0" borderId="82" xfId="89" applyFont="1" applyBorder="1" applyAlignment="1" applyProtection="1">
      <alignment horizontal="center" vertical="center"/>
      <protection hidden="1"/>
    </xf>
    <xf numFmtId="0" fontId="42" fillId="0" borderId="83" xfId="89" applyFont="1" applyBorder="1" applyAlignment="1" applyProtection="1">
      <alignment horizontal="center" vertical="center"/>
      <protection hidden="1"/>
    </xf>
    <xf numFmtId="0" fontId="42" fillId="0" borderId="40" xfId="89" applyFont="1" applyBorder="1" applyAlignment="1" applyProtection="1">
      <alignment horizontal="center" vertical="center"/>
      <protection hidden="1"/>
    </xf>
    <xf numFmtId="0" fontId="42" fillId="0" borderId="41" xfId="89" applyFont="1" applyBorder="1" applyAlignment="1" applyProtection="1">
      <alignment horizontal="center" vertical="center"/>
      <protection hidden="1"/>
    </xf>
    <xf numFmtId="0" fontId="40" fillId="0" borderId="0" xfId="83" applyFont="1" applyAlignment="1" applyProtection="1">
      <alignment horizontal="center" vertical="center"/>
      <protection hidden="1"/>
    </xf>
    <xf numFmtId="0" fontId="40" fillId="0" borderId="82" xfId="83" applyFont="1" applyBorder="1" applyAlignment="1" applyProtection="1">
      <alignment horizontal="justify" vertical="center" wrapText="1"/>
      <protection hidden="1"/>
    </xf>
    <xf numFmtId="0" fontId="32" fillId="46" borderId="0" xfId="90" applyFont="1" applyFill="1" applyAlignment="1" applyProtection="1">
      <alignment horizontal="center" vertical="center"/>
      <protection hidden="1"/>
    </xf>
    <xf numFmtId="0" fontId="33" fillId="0" borderId="0" xfId="90" applyFont="1" applyAlignment="1" applyProtection="1">
      <alignment horizontal="justify" vertical="center" wrapText="1"/>
      <protection hidden="1"/>
    </xf>
    <xf numFmtId="0" fontId="125" fillId="81" borderId="0" xfId="90" applyFont="1" applyFill="1" applyAlignment="1" applyProtection="1">
      <alignment horizontal="center" vertical="center"/>
      <protection hidden="1"/>
    </xf>
    <xf numFmtId="0" fontId="72" fillId="46" borderId="0" xfId="90" applyFont="1" applyFill="1" applyAlignment="1" applyProtection="1">
      <alignment horizontal="center" vertical="center"/>
      <protection locked="0" hidden="1"/>
    </xf>
    <xf numFmtId="0" fontId="111" fillId="0" borderId="0" xfId="0" applyFont="1" applyAlignment="1" applyProtection="1">
      <alignment horizontal="center"/>
      <protection locked="0" hidden="1"/>
    </xf>
    <xf numFmtId="0" fontId="72" fillId="46" borderId="0" xfId="90" applyFont="1" applyFill="1" applyAlignment="1" applyProtection="1">
      <alignment horizontal="center" vertical="center"/>
      <protection hidden="1"/>
    </xf>
    <xf numFmtId="0" fontId="32" fillId="46" borderId="0" xfId="90" applyFont="1" applyFill="1" applyAlignment="1" applyProtection="1">
      <alignment horizontal="center" vertical="center"/>
      <protection locked="0" hidden="1"/>
    </xf>
    <xf numFmtId="0" fontId="50" fillId="0" borderId="70" xfId="90" applyFont="1" applyBorder="1" applyAlignment="1" applyProtection="1">
      <alignment horizontal="right"/>
      <protection hidden="1"/>
    </xf>
    <xf numFmtId="0" fontId="33" fillId="46" borderId="0" xfId="90" applyFont="1" applyFill="1" applyAlignment="1" applyProtection="1">
      <alignment horizontal="center" vertical="center"/>
      <protection hidden="1"/>
    </xf>
    <xf numFmtId="0" fontId="50" fillId="0" borderId="0" xfId="90" applyFont="1" applyAlignment="1" applyProtection="1">
      <alignment horizontal="right"/>
      <protection hidden="1"/>
    </xf>
    <xf numFmtId="2" fontId="72" fillId="46" borderId="0" xfId="90" applyNumberFormat="1" applyFont="1" applyFill="1" applyAlignment="1" applyProtection="1">
      <alignment horizontal="center" vertical="center"/>
      <protection locked="0" hidden="1"/>
    </xf>
    <xf numFmtId="0" fontId="50" fillId="0" borderId="0" xfId="90" applyFont="1" applyAlignment="1" applyProtection="1">
      <alignment horizontal="center"/>
      <protection hidden="1"/>
    </xf>
    <xf numFmtId="2" fontId="50" fillId="0" borderId="0" xfId="90" applyNumberFormat="1" applyFont="1" applyAlignment="1" applyProtection="1">
      <alignment horizontal="center" vertical="center"/>
      <protection locked="0" hidden="1"/>
    </xf>
    <xf numFmtId="0" fontId="46" fillId="0" borderId="95" xfId="0" applyFont="1" applyBorder="1" applyAlignment="1" applyProtection="1">
      <alignment vertical="center"/>
      <protection hidden="1"/>
    </xf>
    <xf numFmtId="0" fontId="30" fillId="46" borderId="0" xfId="84" applyFill="1" applyAlignment="1" applyProtection="1">
      <alignment horizontal="center" vertical="center"/>
      <protection locked="0" hidden="1"/>
    </xf>
    <xf numFmtId="0" fontId="134" fillId="46" borderId="0" xfId="84" applyFont="1" applyFill="1" applyBorder="1" applyAlignment="1" applyProtection="1">
      <alignment horizontal="center" vertical="center"/>
      <protection locked="0" hidden="1"/>
    </xf>
    <xf numFmtId="0" fontId="64" fillId="0" borderId="0" xfId="0" applyFont="1" applyProtection="1">
      <protection hidden="1"/>
    </xf>
  </cellXfs>
  <cellStyles count="142">
    <cellStyle name="20% - Accent1 2" xfId="116" xr:uid="{00000000-0005-0000-0000-000000000000}"/>
    <cellStyle name="20% - Accent2 2" xfId="120" xr:uid="{00000000-0005-0000-0000-000001000000}"/>
    <cellStyle name="20% - Accent3 2" xfId="124" xr:uid="{00000000-0005-0000-0000-000002000000}"/>
    <cellStyle name="20% - Accent4 2" xfId="128" xr:uid="{00000000-0005-0000-0000-000003000000}"/>
    <cellStyle name="20% - Accent5 2" xfId="132" xr:uid="{00000000-0005-0000-0000-000004000000}"/>
    <cellStyle name="20% - Accent6 2" xfId="136" xr:uid="{00000000-0005-0000-0000-000005000000}"/>
    <cellStyle name="40% - Accent1 2" xfId="117" xr:uid="{00000000-0005-0000-0000-000006000000}"/>
    <cellStyle name="40% - Accent2 2" xfId="121" xr:uid="{00000000-0005-0000-0000-000007000000}"/>
    <cellStyle name="40% - Accent3 2" xfId="125" xr:uid="{00000000-0005-0000-0000-000008000000}"/>
    <cellStyle name="40% - Accent4 2" xfId="129" xr:uid="{00000000-0005-0000-0000-000009000000}"/>
    <cellStyle name="40% - Accent5 2" xfId="133" xr:uid="{00000000-0005-0000-0000-00000A000000}"/>
    <cellStyle name="40% - Accent6 2" xfId="137" xr:uid="{00000000-0005-0000-0000-00000B000000}"/>
    <cellStyle name="60% - Accent1 2" xfId="118" xr:uid="{00000000-0005-0000-0000-00000C000000}"/>
    <cellStyle name="60% - Accent2 2" xfId="122" xr:uid="{00000000-0005-0000-0000-00000D000000}"/>
    <cellStyle name="60% - Accent3 2" xfId="126" xr:uid="{00000000-0005-0000-0000-00000E000000}"/>
    <cellStyle name="60% - Accent4 2" xfId="130" xr:uid="{00000000-0005-0000-0000-00000F000000}"/>
    <cellStyle name="60% - Accent5 2" xfId="134" xr:uid="{00000000-0005-0000-0000-000010000000}"/>
    <cellStyle name="60% - Accent6 2" xfId="138" xr:uid="{00000000-0005-0000-0000-000011000000}"/>
    <cellStyle name="Accent1" xfId="1" builtinId="29" customBuiltin="1"/>
    <cellStyle name="Accent1 - 20%" xfId="2" xr:uid="{00000000-0005-0000-0000-000013000000}"/>
    <cellStyle name="Accent1 - 40%" xfId="3" xr:uid="{00000000-0005-0000-0000-000014000000}"/>
    <cellStyle name="Accent1 - 60%" xfId="4" xr:uid="{00000000-0005-0000-0000-000015000000}"/>
    <cellStyle name="Accent1 2" xfId="115" xr:uid="{00000000-0005-0000-0000-000016000000}"/>
    <cellStyle name="Accent2" xfId="5" builtinId="33" customBuiltin="1"/>
    <cellStyle name="Accent2 - 20%" xfId="6" xr:uid="{00000000-0005-0000-0000-000018000000}"/>
    <cellStyle name="Accent2 - 40%" xfId="7" xr:uid="{00000000-0005-0000-0000-000019000000}"/>
    <cellStyle name="Accent2 - 60%" xfId="8" xr:uid="{00000000-0005-0000-0000-00001A000000}"/>
    <cellStyle name="Accent2 2" xfId="119" xr:uid="{00000000-0005-0000-0000-00001B000000}"/>
    <cellStyle name="Accent3" xfId="9" builtinId="37" customBuiltin="1"/>
    <cellStyle name="Accent3 - 20%" xfId="10" xr:uid="{00000000-0005-0000-0000-00001D000000}"/>
    <cellStyle name="Accent3 - 40%" xfId="11" xr:uid="{00000000-0005-0000-0000-00001E000000}"/>
    <cellStyle name="Accent3 - 60%" xfId="12" xr:uid="{00000000-0005-0000-0000-00001F000000}"/>
    <cellStyle name="Accent3 2" xfId="123" xr:uid="{00000000-0005-0000-0000-000020000000}"/>
    <cellStyle name="Accent4" xfId="13" builtinId="41" customBuiltin="1"/>
    <cellStyle name="Accent4 - 20%" xfId="14" xr:uid="{00000000-0005-0000-0000-000022000000}"/>
    <cellStyle name="Accent4 - 40%" xfId="15" xr:uid="{00000000-0005-0000-0000-000023000000}"/>
    <cellStyle name="Accent4 - 60%" xfId="16" xr:uid="{00000000-0005-0000-0000-000024000000}"/>
    <cellStyle name="Accent4 2" xfId="127" xr:uid="{00000000-0005-0000-0000-000025000000}"/>
    <cellStyle name="Accent5" xfId="17" builtinId="45" customBuiltin="1"/>
    <cellStyle name="Accent5 - 20%" xfId="18" xr:uid="{00000000-0005-0000-0000-000027000000}"/>
    <cellStyle name="Accent5 - 40%" xfId="19" xr:uid="{00000000-0005-0000-0000-000028000000}"/>
    <cellStyle name="Accent5 - 60%" xfId="20" xr:uid="{00000000-0005-0000-0000-000029000000}"/>
    <cellStyle name="Accent5 2" xfId="131" xr:uid="{00000000-0005-0000-0000-00002A000000}"/>
    <cellStyle name="Accent6" xfId="21" builtinId="49" customBuiltin="1"/>
    <cellStyle name="Accent6 - 20%" xfId="22" xr:uid="{00000000-0005-0000-0000-00002C000000}"/>
    <cellStyle name="Accent6 - 40%" xfId="23" xr:uid="{00000000-0005-0000-0000-00002D000000}"/>
    <cellStyle name="Accent6 - 60%" xfId="24" xr:uid="{00000000-0005-0000-0000-00002E000000}"/>
    <cellStyle name="Accent6 2" xfId="135" xr:uid="{00000000-0005-0000-0000-00002F000000}"/>
    <cellStyle name="Bad" xfId="25" builtinId="27" customBuiltin="1"/>
    <cellStyle name="Bad 2" xfId="104" xr:uid="{00000000-0005-0000-0000-000031000000}"/>
    <cellStyle name="Calculation" xfId="26" builtinId="22" customBuiltin="1"/>
    <cellStyle name="Calculation 2" xfId="108" xr:uid="{00000000-0005-0000-0000-000033000000}"/>
    <cellStyle name="Check Cell" xfId="27" builtinId="23" customBuiltin="1"/>
    <cellStyle name="Check Cell 2" xfId="110" xr:uid="{00000000-0005-0000-0000-000035000000}"/>
    <cellStyle name="Comma" xfId="139" builtinId="3"/>
    <cellStyle name="Comma 2" xfId="98" xr:uid="{00000000-0005-0000-0000-000036000000}"/>
    <cellStyle name="Comma 3" xfId="140" xr:uid="{7E12DA93-0CE9-4194-9B33-921FE6867DCB}"/>
    <cellStyle name="Emphasis 1" xfId="28" xr:uid="{00000000-0005-0000-0000-000037000000}"/>
    <cellStyle name="Emphasis 2" xfId="29" xr:uid="{00000000-0005-0000-0000-000038000000}"/>
    <cellStyle name="Emphasis 3" xfId="30" xr:uid="{00000000-0005-0000-0000-000039000000}"/>
    <cellStyle name="Explanatory Text 2" xfId="113" xr:uid="{00000000-0005-0000-0000-00003A000000}"/>
    <cellStyle name="Good" xfId="31" builtinId="26" customBuiltin="1"/>
    <cellStyle name="Good 2" xfId="103" xr:uid="{00000000-0005-0000-0000-00003C000000}"/>
    <cellStyle name="Heading 1" xfId="32" builtinId="16" customBuiltin="1"/>
    <cellStyle name="Heading 1 2" xfId="99" xr:uid="{00000000-0005-0000-0000-00003E000000}"/>
    <cellStyle name="Heading 2" xfId="33" builtinId="17" customBuiltin="1"/>
    <cellStyle name="Heading 2 2" xfId="100" xr:uid="{00000000-0005-0000-0000-000040000000}"/>
    <cellStyle name="Heading 3" xfId="34" builtinId="18" customBuiltin="1"/>
    <cellStyle name="Heading 3 2" xfId="101" xr:uid="{00000000-0005-0000-0000-000042000000}"/>
    <cellStyle name="Heading 4" xfId="35" builtinId="19" customBuiltin="1"/>
    <cellStyle name="Heading 4 2" xfId="102" xr:uid="{00000000-0005-0000-0000-000044000000}"/>
    <cellStyle name="Hyperlink" xfId="84" builtinId="8"/>
    <cellStyle name="Hyperlink 2" xfId="86" xr:uid="{00000000-0005-0000-0000-000046000000}"/>
    <cellStyle name="Hyperlink 3" xfId="88" xr:uid="{00000000-0005-0000-0000-000047000000}"/>
    <cellStyle name="Input" xfId="36" builtinId="20" customBuiltin="1"/>
    <cellStyle name="Input 2" xfId="106" xr:uid="{00000000-0005-0000-0000-000049000000}"/>
    <cellStyle name="Linked Cell" xfId="37" builtinId="24" customBuiltin="1"/>
    <cellStyle name="Linked Cell 2" xfId="109" xr:uid="{00000000-0005-0000-0000-00004B000000}"/>
    <cellStyle name="Neutral" xfId="38" builtinId="28" customBuiltin="1"/>
    <cellStyle name="Neutral 2" xfId="105" xr:uid="{00000000-0005-0000-0000-00004D000000}"/>
    <cellStyle name="Normal" xfId="0" builtinId="0"/>
    <cellStyle name="Normal 2" xfId="83" xr:uid="{00000000-0005-0000-0000-00004F000000}"/>
    <cellStyle name="Normal 2 2" xfId="91" xr:uid="{00000000-0005-0000-0000-000050000000}"/>
    <cellStyle name="Normal 3" xfId="85" xr:uid="{00000000-0005-0000-0000-000051000000}"/>
    <cellStyle name="Normal 3 2" xfId="92" xr:uid="{00000000-0005-0000-0000-000052000000}"/>
    <cellStyle name="Normal 4" xfId="87" xr:uid="{00000000-0005-0000-0000-000053000000}"/>
    <cellStyle name="Normal 4 2" xfId="90" xr:uid="{00000000-0005-0000-0000-000054000000}"/>
    <cellStyle name="Normal 4 3" xfId="94" xr:uid="{00000000-0005-0000-0000-000055000000}"/>
    <cellStyle name="Normal 5" xfId="89" xr:uid="{00000000-0005-0000-0000-000056000000}"/>
    <cellStyle name="Normal 6" xfId="93" xr:uid="{00000000-0005-0000-0000-000057000000}"/>
    <cellStyle name="Normal 6 2" xfId="95" xr:uid="{00000000-0005-0000-0000-000058000000}"/>
    <cellStyle name="Normal 7" xfId="97" xr:uid="{00000000-0005-0000-0000-000059000000}"/>
    <cellStyle name="Note" xfId="39" builtinId="10" customBuiltin="1"/>
    <cellStyle name="Note 2" xfId="112" xr:uid="{00000000-0005-0000-0000-00005B000000}"/>
    <cellStyle name="Output" xfId="40" builtinId="21" customBuiltin="1"/>
    <cellStyle name="Output 2" xfId="107" xr:uid="{00000000-0005-0000-0000-00005D000000}"/>
    <cellStyle name="Percent 2" xfId="141" xr:uid="{C35B752F-9F3F-4D11-A1B2-3F273D36350B}"/>
    <cellStyle name="SAPBEXaggData" xfId="41" xr:uid="{00000000-0005-0000-0000-00005E000000}"/>
    <cellStyle name="SAPBEXaggDataEmph" xfId="42" xr:uid="{00000000-0005-0000-0000-00005F000000}"/>
    <cellStyle name="SAPBEXaggItem" xfId="43" xr:uid="{00000000-0005-0000-0000-000060000000}"/>
    <cellStyle name="SAPBEXaggItemX" xfId="44" xr:uid="{00000000-0005-0000-0000-000061000000}"/>
    <cellStyle name="SAPBEXchaText" xfId="45" xr:uid="{00000000-0005-0000-0000-000062000000}"/>
    <cellStyle name="SAPBEXexcBad7" xfId="46" xr:uid="{00000000-0005-0000-0000-000063000000}"/>
    <cellStyle name="SAPBEXexcBad8" xfId="47" xr:uid="{00000000-0005-0000-0000-000064000000}"/>
    <cellStyle name="SAPBEXexcBad9" xfId="48" xr:uid="{00000000-0005-0000-0000-000065000000}"/>
    <cellStyle name="SAPBEXexcCritical4" xfId="49" xr:uid="{00000000-0005-0000-0000-000066000000}"/>
    <cellStyle name="SAPBEXexcCritical5" xfId="50" xr:uid="{00000000-0005-0000-0000-000067000000}"/>
    <cellStyle name="SAPBEXexcCritical6" xfId="51" xr:uid="{00000000-0005-0000-0000-000068000000}"/>
    <cellStyle name="SAPBEXexcGood1" xfId="52" xr:uid="{00000000-0005-0000-0000-000069000000}"/>
    <cellStyle name="SAPBEXexcGood2" xfId="53" xr:uid="{00000000-0005-0000-0000-00006A000000}"/>
    <cellStyle name="SAPBEXexcGood3" xfId="54" xr:uid="{00000000-0005-0000-0000-00006B000000}"/>
    <cellStyle name="SAPBEXfilterDrill" xfId="55" xr:uid="{00000000-0005-0000-0000-00006C000000}"/>
    <cellStyle name="SAPBEXfilterItem" xfId="56" xr:uid="{00000000-0005-0000-0000-00006D000000}"/>
    <cellStyle name="SAPBEXfilterText" xfId="57" xr:uid="{00000000-0005-0000-0000-00006E000000}"/>
    <cellStyle name="SAPBEXformats" xfId="58" xr:uid="{00000000-0005-0000-0000-00006F000000}"/>
    <cellStyle name="SAPBEXheaderItem" xfId="59" xr:uid="{00000000-0005-0000-0000-000070000000}"/>
    <cellStyle name="SAPBEXheaderText" xfId="60" xr:uid="{00000000-0005-0000-0000-000071000000}"/>
    <cellStyle name="SAPBEXHLevel0" xfId="61" xr:uid="{00000000-0005-0000-0000-000072000000}"/>
    <cellStyle name="SAPBEXHLevel0X" xfId="62" xr:uid="{00000000-0005-0000-0000-000073000000}"/>
    <cellStyle name="SAPBEXHLevel1" xfId="63" xr:uid="{00000000-0005-0000-0000-000074000000}"/>
    <cellStyle name="SAPBEXHLevel1X" xfId="64" xr:uid="{00000000-0005-0000-0000-000075000000}"/>
    <cellStyle name="SAPBEXHLevel2" xfId="65" xr:uid="{00000000-0005-0000-0000-000076000000}"/>
    <cellStyle name="SAPBEXHLevel2X" xfId="66" xr:uid="{00000000-0005-0000-0000-000077000000}"/>
    <cellStyle name="SAPBEXHLevel3" xfId="67" xr:uid="{00000000-0005-0000-0000-000078000000}"/>
    <cellStyle name="SAPBEXHLevel3X" xfId="68" xr:uid="{00000000-0005-0000-0000-000079000000}"/>
    <cellStyle name="SAPBEXinputData" xfId="69" xr:uid="{00000000-0005-0000-0000-00007A000000}"/>
    <cellStyle name="SAPBEXresData" xfId="70" xr:uid="{00000000-0005-0000-0000-00007B000000}"/>
    <cellStyle name="SAPBEXresDataEmph" xfId="71" xr:uid="{00000000-0005-0000-0000-00007C000000}"/>
    <cellStyle name="SAPBEXresItem" xfId="72" xr:uid="{00000000-0005-0000-0000-00007D000000}"/>
    <cellStyle name="SAPBEXresItemX" xfId="73" xr:uid="{00000000-0005-0000-0000-00007E000000}"/>
    <cellStyle name="SAPBEXstdData" xfId="74" xr:uid="{00000000-0005-0000-0000-00007F000000}"/>
    <cellStyle name="SAPBEXstdDataEmph" xfId="75" xr:uid="{00000000-0005-0000-0000-000080000000}"/>
    <cellStyle name="SAPBEXstdItem" xfId="76" xr:uid="{00000000-0005-0000-0000-000081000000}"/>
    <cellStyle name="SAPBEXstdItemX" xfId="77" xr:uid="{00000000-0005-0000-0000-000082000000}"/>
    <cellStyle name="SAPBEXtitle" xfId="78" xr:uid="{00000000-0005-0000-0000-000083000000}"/>
    <cellStyle name="SAPBEXundefined" xfId="79" xr:uid="{00000000-0005-0000-0000-000084000000}"/>
    <cellStyle name="Sheet Title" xfId="80" xr:uid="{00000000-0005-0000-0000-000085000000}"/>
    <cellStyle name="Title" xfId="96" builtinId="15" customBuiltin="1"/>
    <cellStyle name="Total" xfId="81" builtinId="25" customBuiltin="1"/>
    <cellStyle name="Total 2" xfId="114" xr:uid="{00000000-0005-0000-0000-000088000000}"/>
    <cellStyle name="Warning Text" xfId="82" builtinId="11" customBuiltin="1"/>
    <cellStyle name="Warning Text 2" xfId="111" xr:uid="{00000000-0005-0000-0000-00008A000000}"/>
  </cellStyles>
  <dxfs count="42">
    <dxf>
      <font>
        <b/>
        <i val="0"/>
        <color theme="3"/>
      </font>
      <fill>
        <patternFill>
          <bgColor rgb="FFFFFF00"/>
        </patternFill>
      </fill>
    </dxf>
    <dxf>
      <font>
        <b/>
        <i val="0"/>
      </font>
      <fill>
        <patternFill>
          <bgColor rgb="FFFFFF00"/>
        </patternFill>
      </fill>
    </dxf>
    <dxf>
      <fill>
        <patternFill>
          <bgColor rgb="FFFFFF00"/>
        </patternFill>
      </fill>
    </dxf>
    <dxf>
      <font>
        <b/>
        <i val="0"/>
        <strike val="0"/>
        <color theme="3"/>
      </font>
      <fill>
        <patternFill>
          <bgColor rgb="FFFFFF00"/>
        </patternFill>
      </fill>
    </dxf>
    <dxf>
      <font>
        <b/>
        <i val="0"/>
        <color theme="3"/>
      </font>
      <fill>
        <patternFill>
          <bgColor theme="9" tint="0.79998168889431442"/>
        </patternFill>
      </fill>
    </dxf>
    <dxf>
      <font>
        <b/>
        <i val="0"/>
        <color theme="3"/>
      </font>
      <fill>
        <patternFill>
          <bgColor theme="9" tint="0.79998168889431442"/>
        </patternFill>
      </fill>
    </dxf>
    <dxf>
      <font>
        <b/>
        <i val="0"/>
        <color theme="3"/>
      </font>
      <fill>
        <patternFill>
          <bgColor theme="9" tint="0.79998168889431442"/>
        </patternFill>
      </fill>
    </dxf>
    <dxf>
      <font>
        <b/>
        <i val="0"/>
        <strike val="0"/>
        <color theme="3"/>
      </font>
      <fill>
        <patternFill>
          <bgColor theme="9" tint="0.79998168889431442"/>
        </patternFill>
      </fill>
    </dxf>
    <dxf>
      <font>
        <b/>
        <i val="0"/>
        <strike val="0"/>
        <color theme="3"/>
      </font>
      <fill>
        <patternFill>
          <bgColor theme="9" tint="0.79998168889431442"/>
        </patternFill>
      </fill>
    </dxf>
    <dxf>
      <font>
        <b/>
        <i val="0"/>
        <color theme="3"/>
      </font>
      <fill>
        <patternFill>
          <bgColor theme="9" tint="0.79998168889431442"/>
        </patternFill>
      </fill>
    </dxf>
    <dxf>
      <font>
        <b/>
        <i val="0"/>
        <color theme="3"/>
      </font>
      <fill>
        <patternFill>
          <bgColor theme="9" tint="0.79998168889431442"/>
        </patternFill>
      </fill>
    </dxf>
    <dxf>
      <font>
        <b/>
        <i val="0"/>
        <color theme="3"/>
      </font>
      <fill>
        <patternFill>
          <bgColor theme="9" tint="0.79998168889431442"/>
        </patternFill>
      </fill>
    </dxf>
    <dxf>
      <font>
        <b/>
        <i val="0"/>
        <color theme="3"/>
      </font>
      <fill>
        <patternFill>
          <bgColor rgb="FFFFFF00"/>
        </patternFill>
      </fill>
      <border>
        <left/>
        <right/>
        <top/>
        <bottom/>
        <vertical/>
        <horizontal/>
      </border>
    </dxf>
    <dxf>
      <font>
        <strike val="0"/>
        <color theme="0"/>
      </font>
    </dxf>
    <dxf>
      <font>
        <b/>
        <i val="0"/>
        <color auto="1"/>
      </font>
      <fill>
        <patternFill>
          <bgColor rgb="FFFFFF00"/>
        </patternFill>
      </fill>
    </dxf>
    <dxf>
      <font>
        <b/>
        <i val="0"/>
        <color theme="3"/>
      </font>
      <fill>
        <patternFill>
          <bgColor rgb="FFFFFF00"/>
        </patternFill>
      </fill>
    </dxf>
    <dxf>
      <font>
        <b/>
        <i val="0"/>
        <strike val="0"/>
        <color theme="3"/>
      </font>
      <fill>
        <patternFill>
          <bgColor rgb="FFFFFF00"/>
        </patternFill>
      </fill>
    </dxf>
    <dxf>
      <font>
        <b/>
        <i val="0"/>
        <strike val="0"/>
        <color theme="3"/>
      </font>
      <fill>
        <patternFill>
          <bgColor theme="0" tint="-4.9989318521683403E-2"/>
        </patternFill>
      </fill>
    </dxf>
    <dxf>
      <font>
        <b/>
        <i val="0"/>
        <color theme="3"/>
      </font>
      <fill>
        <patternFill>
          <bgColor rgb="FFFFFF00"/>
        </patternFill>
      </fill>
    </dxf>
    <dxf>
      <font>
        <b/>
        <i val="0"/>
        <strike val="0"/>
        <color theme="3"/>
      </font>
      <fill>
        <patternFill>
          <bgColor rgb="FFFFFF00"/>
        </patternFill>
      </fill>
      <border>
        <left/>
        <right/>
        <top/>
        <bottom/>
        <vertical/>
        <horizontal/>
      </border>
    </dxf>
    <dxf>
      <font>
        <b/>
        <i val="0"/>
        <strike val="0"/>
        <color theme="3"/>
      </font>
      <fill>
        <patternFill>
          <bgColor rgb="FFFFFF00"/>
        </patternFill>
      </fill>
      <border>
        <left/>
        <right/>
        <top/>
        <bottom/>
        <vertical/>
        <horizontal/>
      </border>
    </dxf>
    <dxf>
      <font>
        <b/>
        <i val="0"/>
        <strike val="0"/>
        <color theme="3"/>
      </font>
      <fill>
        <patternFill>
          <bgColor theme="0" tint="-4.9989318521683403E-2"/>
        </patternFill>
      </fill>
    </dxf>
    <dxf>
      <font>
        <b/>
        <i val="0"/>
        <strike val="0"/>
        <color theme="3"/>
      </font>
      <fill>
        <patternFill>
          <bgColor rgb="FFFFFF00"/>
        </patternFill>
      </fill>
    </dxf>
    <dxf>
      <font>
        <strike val="0"/>
        <color theme="0"/>
      </font>
    </dxf>
    <dxf>
      <font>
        <color theme="0"/>
      </font>
    </dxf>
    <dxf>
      <font>
        <b/>
        <i val="0"/>
        <color theme="3"/>
      </font>
      <fill>
        <patternFill>
          <bgColor rgb="FFFFFF00"/>
        </patternFill>
      </fill>
    </dxf>
    <dxf>
      <font>
        <b/>
        <i val="0"/>
        <color theme="3"/>
      </font>
      <fill>
        <patternFill>
          <bgColor theme="0" tint="-4.9989318521683403E-2"/>
        </patternFill>
      </fill>
    </dxf>
    <dxf>
      <font>
        <b/>
        <i val="0"/>
        <color theme="3"/>
      </font>
      <fill>
        <patternFill>
          <bgColor theme="9" tint="0.79998168889431442"/>
        </patternFill>
      </fill>
    </dxf>
    <dxf>
      <font>
        <b/>
        <i val="0"/>
        <color theme="3"/>
      </font>
      <fill>
        <patternFill>
          <bgColor rgb="FFFFFF00"/>
        </patternFill>
      </fill>
    </dxf>
    <dxf>
      <font>
        <b/>
        <i val="0"/>
        <color theme="3"/>
      </font>
      <fill>
        <patternFill>
          <bgColor rgb="FFFFFF00"/>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color theme="3"/>
      </font>
      <fill>
        <patternFill>
          <bgColor rgb="FFFFFF00"/>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strike val="0"/>
        <color theme="3"/>
      </font>
      <fill>
        <patternFill>
          <bgColor theme="9" tint="0.59996337778862885"/>
        </patternFill>
      </fill>
      <border>
        <left/>
        <right/>
        <top/>
        <bottom/>
        <vertical/>
        <horizontal/>
      </border>
    </dxf>
    <dxf>
      <font>
        <b/>
        <i val="0"/>
        <strike val="0"/>
        <color theme="3"/>
      </font>
      <fill>
        <patternFill>
          <bgColor theme="9" tint="0.59996337778862885"/>
        </patternFill>
      </fill>
      <border>
        <left/>
        <right/>
        <top/>
        <bottom/>
        <vertical/>
        <horizontal/>
      </border>
    </dxf>
    <dxf>
      <font>
        <b/>
        <i val="0"/>
        <strike val="0"/>
        <color theme="3"/>
      </font>
      <fill>
        <patternFill>
          <bgColor theme="9" tint="0.79998168889431442"/>
        </patternFill>
      </fill>
    </dxf>
    <dxf>
      <font>
        <b/>
        <i val="0"/>
        <color theme="3"/>
      </font>
      <fill>
        <patternFill>
          <bgColor theme="9" tint="0.79998168889431442"/>
        </patternFill>
      </fill>
    </dxf>
    <dxf>
      <font>
        <b/>
        <i val="0"/>
        <color theme="3"/>
      </font>
      <fill>
        <patternFill>
          <bgColor theme="9" tint="0.79998168889431442"/>
        </patternFill>
      </fill>
    </dxf>
  </dxfs>
  <tableStyles count="0" defaultTableStyle="TableStyleMedium9" defaultPivotStyle="PivotStyleLight16"/>
  <colors>
    <mruColors>
      <color rgb="FF0000FF"/>
      <color rgb="FFE1FFE1"/>
      <color rgb="FFCCFF99"/>
      <color rgb="FFFF751B"/>
      <color rgb="FF000000"/>
      <color rgb="FFF68426"/>
      <color rgb="FF6893C6"/>
      <color rgb="FF3333FF"/>
      <color rgb="FFEAEAEA"/>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8.jpeg"/><Relationship Id="rId18" Type="http://schemas.openxmlformats.org/officeDocument/2006/relationships/image" Target="../media/image23.jpeg"/><Relationship Id="rId3" Type="http://schemas.openxmlformats.org/officeDocument/2006/relationships/image" Target="../media/image9.jpeg"/><Relationship Id="rId7" Type="http://schemas.openxmlformats.org/officeDocument/2006/relationships/image" Target="../media/image13.png"/><Relationship Id="rId12" Type="http://schemas.openxmlformats.org/officeDocument/2006/relationships/image" Target="../media/image17.jpeg"/><Relationship Id="rId17" Type="http://schemas.openxmlformats.org/officeDocument/2006/relationships/image" Target="../media/image22.jpeg"/><Relationship Id="rId2" Type="http://schemas.openxmlformats.org/officeDocument/2006/relationships/image" Target="../media/image8.JPG"/><Relationship Id="rId16" Type="http://schemas.openxmlformats.org/officeDocument/2006/relationships/image" Target="../media/image21.jpeg"/><Relationship Id="rId20" Type="http://schemas.openxmlformats.org/officeDocument/2006/relationships/image" Target="../media/image25.jpeg"/><Relationship Id="rId1" Type="http://schemas.openxmlformats.org/officeDocument/2006/relationships/image" Target="../media/image7.jpeg"/><Relationship Id="rId6" Type="http://schemas.openxmlformats.org/officeDocument/2006/relationships/image" Target="../media/image12.png"/><Relationship Id="rId11" Type="http://schemas.openxmlformats.org/officeDocument/2006/relationships/image" Target="../media/image16.jpeg"/><Relationship Id="rId5" Type="http://schemas.openxmlformats.org/officeDocument/2006/relationships/image" Target="../media/image11.png"/><Relationship Id="rId15" Type="http://schemas.openxmlformats.org/officeDocument/2006/relationships/image" Target="../media/image20.jpeg"/><Relationship Id="rId10" Type="http://schemas.openxmlformats.org/officeDocument/2006/relationships/image" Target="../media/image15.jpeg"/><Relationship Id="rId19" Type="http://schemas.openxmlformats.org/officeDocument/2006/relationships/image" Target="../media/image24.jpeg"/><Relationship Id="rId4" Type="http://schemas.openxmlformats.org/officeDocument/2006/relationships/image" Target="../media/image10.jpeg"/><Relationship Id="rId9" Type="http://schemas.openxmlformats.org/officeDocument/2006/relationships/image" Target="../media/image14.jpeg"/><Relationship Id="rId14"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twoCellAnchor>
    <xdr:from>
      <xdr:col>15</xdr:col>
      <xdr:colOff>38100</xdr:colOff>
      <xdr:row>77</xdr:row>
      <xdr:rowOff>76200</xdr:rowOff>
    </xdr:from>
    <xdr:to>
      <xdr:col>15</xdr:col>
      <xdr:colOff>381000</xdr:colOff>
      <xdr:row>77</xdr:row>
      <xdr:rowOff>121919</xdr:rowOff>
    </xdr:to>
    <xdr:sp macro="" textlink="">
      <xdr:nvSpPr>
        <xdr:cNvPr id="2" name="Minus Sign 1">
          <a:extLst>
            <a:ext uri="{FF2B5EF4-FFF2-40B4-BE49-F238E27FC236}">
              <a16:creationId xmlns:a16="http://schemas.microsoft.com/office/drawing/2014/main" id="{77567A53-ECBF-44C8-8014-CF51DE56CC2B}"/>
            </a:ext>
          </a:extLst>
        </xdr:cNvPr>
        <xdr:cNvSpPr/>
      </xdr:nvSpPr>
      <xdr:spPr>
        <a:xfrm>
          <a:off x="5553075" y="15420975"/>
          <a:ext cx="342900"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16</xdr:col>
      <xdr:colOff>180975</xdr:colOff>
      <xdr:row>77</xdr:row>
      <xdr:rowOff>76200</xdr:rowOff>
    </xdr:from>
    <xdr:to>
      <xdr:col>17</xdr:col>
      <xdr:colOff>19050</xdr:colOff>
      <xdr:row>77</xdr:row>
      <xdr:rowOff>121919</xdr:rowOff>
    </xdr:to>
    <xdr:sp macro="" textlink="">
      <xdr:nvSpPr>
        <xdr:cNvPr id="6" name="Minus Sign 5">
          <a:extLst>
            <a:ext uri="{FF2B5EF4-FFF2-40B4-BE49-F238E27FC236}">
              <a16:creationId xmlns:a16="http://schemas.microsoft.com/office/drawing/2014/main" id="{0F9C8DE0-E6B5-4CE6-8DBF-B8994C814A3A}"/>
            </a:ext>
          </a:extLst>
        </xdr:cNvPr>
        <xdr:cNvSpPr/>
      </xdr:nvSpPr>
      <xdr:spPr>
        <a:xfrm>
          <a:off x="6134100" y="15420975"/>
          <a:ext cx="409575"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editAs="oneCell">
    <xdr:from>
      <xdr:col>5</xdr:col>
      <xdr:colOff>77085</xdr:colOff>
      <xdr:row>53</xdr:row>
      <xdr:rowOff>60961</xdr:rowOff>
    </xdr:from>
    <xdr:to>
      <xdr:col>7</xdr:col>
      <xdr:colOff>317524</xdr:colOff>
      <xdr:row>59</xdr:row>
      <xdr:rowOff>21931</xdr:rowOff>
    </xdr:to>
    <xdr:pic>
      <xdr:nvPicPr>
        <xdr:cNvPr id="7" name="Picture 6" descr="Alcatifa.JPG">
          <a:extLst>
            <a:ext uri="{FF2B5EF4-FFF2-40B4-BE49-F238E27FC236}">
              <a16:creationId xmlns:a16="http://schemas.microsoft.com/office/drawing/2014/main" id="{723E9A27-BD35-4799-B726-F6FE86304802}"/>
            </a:ext>
          </a:extLst>
        </xdr:cNvPr>
        <xdr:cNvPicPr>
          <a:picLocks noChangeAspect="1"/>
        </xdr:cNvPicPr>
      </xdr:nvPicPr>
      <xdr:blipFill>
        <a:blip xmlns:r="http://schemas.openxmlformats.org/officeDocument/2006/relationships" r:embed="rId1" cstate="print"/>
        <a:srcRect t="1608" r="2578"/>
        <a:stretch>
          <a:fillRect/>
        </a:stretch>
      </xdr:blipFill>
      <xdr:spPr>
        <a:xfrm>
          <a:off x="1905885" y="17983201"/>
          <a:ext cx="1093879" cy="898230"/>
        </a:xfrm>
        <a:prstGeom prst="rect">
          <a:avLst/>
        </a:prstGeom>
      </xdr:spPr>
    </xdr:pic>
    <xdr:clientData/>
  </xdr:twoCellAnchor>
  <xdr:twoCellAnchor editAs="oneCell">
    <xdr:from>
      <xdr:col>1</xdr:col>
      <xdr:colOff>22860</xdr:colOff>
      <xdr:row>0</xdr:row>
      <xdr:rowOff>67689</xdr:rowOff>
    </xdr:from>
    <xdr:to>
      <xdr:col>3</xdr:col>
      <xdr:colOff>172684</xdr:colOff>
      <xdr:row>4</xdr:row>
      <xdr:rowOff>83820</xdr:rowOff>
    </xdr:to>
    <xdr:pic>
      <xdr:nvPicPr>
        <xdr:cNvPr id="13" name="Picture 12" descr="FIL - Feira Internacional de Lisboa | LinkedIn">
          <a:extLst>
            <a:ext uri="{FF2B5EF4-FFF2-40B4-BE49-F238E27FC236}">
              <a16:creationId xmlns:a16="http://schemas.microsoft.com/office/drawing/2014/main" id="{B6865C55-81CD-4703-96A0-EE6E3D6A815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600" t="13598" r="13600" b="30999"/>
        <a:stretch/>
      </xdr:blipFill>
      <xdr:spPr bwMode="auto">
        <a:xfrm>
          <a:off x="198120" y="67689"/>
          <a:ext cx="789904" cy="618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83820</xdr:colOff>
      <xdr:row>44</xdr:row>
      <xdr:rowOff>22860</xdr:rowOff>
    </xdr:from>
    <xdr:to>
      <xdr:col>15</xdr:col>
      <xdr:colOff>426720</xdr:colOff>
      <xdr:row>44</xdr:row>
      <xdr:rowOff>68579</xdr:rowOff>
    </xdr:to>
    <xdr:sp macro="" textlink="">
      <xdr:nvSpPr>
        <xdr:cNvPr id="8" name="Minus Sign 7">
          <a:extLst>
            <a:ext uri="{FF2B5EF4-FFF2-40B4-BE49-F238E27FC236}">
              <a16:creationId xmlns:a16="http://schemas.microsoft.com/office/drawing/2014/main" id="{EFC98908-239D-410C-A4D0-5B23C0CF8C4C}"/>
            </a:ext>
          </a:extLst>
        </xdr:cNvPr>
        <xdr:cNvSpPr/>
      </xdr:nvSpPr>
      <xdr:spPr>
        <a:xfrm>
          <a:off x="5753100" y="15019020"/>
          <a:ext cx="342900"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editAs="oneCell">
    <xdr:from>
      <xdr:col>12</xdr:col>
      <xdr:colOff>274320</xdr:colOff>
      <xdr:row>178</xdr:row>
      <xdr:rowOff>152403</xdr:rowOff>
    </xdr:from>
    <xdr:to>
      <xdr:col>18</xdr:col>
      <xdr:colOff>38220</xdr:colOff>
      <xdr:row>180</xdr:row>
      <xdr:rowOff>121190</xdr:rowOff>
    </xdr:to>
    <xdr:pic>
      <xdr:nvPicPr>
        <xdr:cNvPr id="4" name="Picture 3">
          <a:extLst>
            <a:ext uri="{FF2B5EF4-FFF2-40B4-BE49-F238E27FC236}">
              <a16:creationId xmlns:a16="http://schemas.microsoft.com/office/drawing/2014/main" id="{7FDE7DED-24F9-4929-B0BB-3D4D94A5A94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6965"/>
        <a:stretch/>
      </xdr:blipFill>
      <xdr:spPr>
        <a:xfrm>
          <a:off x="4853940" y="31226763"/>
          <a:ext cx="2088000" cy="304067"/>
        </a:xfrm>
        <a:prstGeom prst="rect">
          <a:avLst/>
        </a:prstGeom>
      </xdr:spPr>
    </xdr:pic>
    <xdr:clientData/>
  </xdr:twoCellAnchor>
  <xdr:twoCellAnchor editAs="oneCell">
    <xdr:from>
      <xdr:col>14</xdr:col>
      <xdr:colOff>53340</xdr:colOff>
      <xdr:row>176</xdr:row>
      <xdr:rowOff>22860</xdr:rowOff>
    </xdr:from>
    <xdr:to>
      <xdr:col>16</xdr:col>
      <xdr:colOff>198960</xdr:colOff>
      <xdr:row>178</xdr:row>
      <xdr:rowOff>130704</xdr:rowOff>
    </xdr:to>
    <xdr:pic>
      <xdr:nvPicPr>
        <xdr:cNvPr id="9" name="Picture 8">
          <a:extLst>
            <a:ext uri="{FF2B5EF4-FFF2-40B4-BE49-F238E27FC236}">
              <a16:creationId xmlns:a16="http://schemas.microsoft.com/office/drawing/2014/main" id="{03EDE130-9037-4AF7-969A-10587B7501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79720" y="39928800"/>
          <a:ext cx="900000" cy="443124"/>
        </a:xfrm>
        <a:prstGeom prst="rect">
          <a:avLst/>
        </a:prstGeom>
      </xdr:spPr>
    </xdr:pic>
    <xdr:clientData/>
  </xdr:twoCellAnchor>
  <xdr:twoCellAnchor>
    <xdr:from>
      <xdr:col>15</xdr:col>
      <xdr:colOff>53340</xdr:colOff>
      <xdr:row>79</xdr:row>
      <xdr:rowOff>53340</xdr:rowOff>
    </xdr:from>
    <xdr:to>
      <xdr:col>15</xdr:col>
      <xdr:colOff>396240</xdr:colOff>
      <xdr:row>79</xdr:row>
      <xdr:rowOff>99059</xdr:rowOff>
    </xdr:to>
    <xdr:sp macro="" textlink="">
      <xdr:nvSpPr>
        <xdr:cNvPr id="5" name="Minus Sign 4">
          <a:extLst>
            <a:ext uri="{FF2B5EF4-FFF2-40B4-BE49-F238E27FC236}">
              <a16:creationId xmlns:a16="http://schemas.microsoft.com/office/drawing/2014/main" id="{CFC3B4D1-55E7-453C-B35B-3B721D23510D}"/>
            </a:ext>
          </a:extLst>
        </xdr:cNvPr>
        <xdr:cNvSpPr/>
      </xdr:nvSpPr>
      <xdr:spPr>
        <a:xfrm>
          <a:off x="5783580" y="23987760"/>
          <a:ext cx="342900"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xdr:from>
      <xdr:col>15</xdr:col>
      <xdr:colOff>60960</xdr:colOff>
      <xdr:row>81</xdr:row>
      <xdr:rowOff>83820</xdr:rowOff>
    </xdr:from>
    <xdr:to>
      <xdr:col>15</xdr:col>
      <xdr:colOff>403860</xdr:colOff>
      <xdr:row>81</xdr:row>
      <xdr:rowOff>129539</xdr:rowOff>
    </xdr:to>
    <xdr:sp macro="" textlink="">
      <xdr:nvSpPr>
        <xdr:cNvPr id="10" name="Minus Sign 9">
          <a:extLst>
            <a:ext uri="{FF2B5EF4-FFF2-40B4-BE49-F238E27FC236}">
              <a16:creationId xmlns:a16="http://schemas.microsoft.com/office/drawing/2014/main" id="{57BC81A7-EA2D-4E68-8BA3-66E590C3A19A}"/>
            </a:ext>
          </a:extLst>
        </xdr:cNvPr>
        <xdr:cNvSpPr/>
      </xdr:nvSpPr>
      <xdr:spPr>
        <a:xfrm>
          <a:off x="5791200" y="23682960"/>
          <a:ext cx="342900" cy="45719"/>
        </a:xfrm>
        <a:prstGeom prst="mathMinu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PT" sz="1100"/>
        </a:p>
      </xdr:txBody>
    </xdr:sp>
    <xdr:clientData/>
  </xdr:twoCellAnchor>
  <xdr:twoCellAnchor editAs="oneCell">
    <xdr:from>
      <xdr:col>15</xdr:col>
      <xdr:colOff>59849</xdr:colOff>
      <xdr:row>0</xdr:row>
      <xdr:rowOff>124661</xdr:rowOff>
    </xdr:from>
    <xdr:to>
      <xdr:col>16</xdr:col>
      <xdr:colOff>350520</xdr:colOff>
      <xdr:row>4</xdr:row>
      <xdr:rowOff>7621</xdr:rowOff>
    </xdr:to>
    <xdr:pic>
      <xdr:nvPicPr>
        <xdr:cNvPr id="12" name="Picture 11">
          <a:extLst>
            <a:ext uri="{FF2B5EF4-FFF2-40B4-BE49-F238E27FC236}">
              <a16:creationId xmlns:a16="http://schemas.microsoft.com/office/drawing/2014/main" id="{38F6467B-3519-433C-9898-F3E920A243C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57415" b="23323"/>
        <a:stretch/>
      </xdr:blipFill>
      <xdr:spPr>
        <a:xfrm>
          <a:off x="5790089" y="124661"/>
          <a:ext cx="702151" cy="484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337184</xdr:colOff>
      <xdr:row>161</xdr:row>
      <xdr:rowOff>118108</xdr:rowOff>
    </xdr:from>
    <xdr:to>
      <xdr:col>10</xdr:col>
      <xdr:colOff>283964</xdr:colOff>
      <xdr:row>163</xdr:row>
      <xdr:rowOff>73724</xdr:rowOff>
    </xdr:to>
    <xdr:pic>
      <xdr:nvPicPr>
        <xdr:cNvPr id="6" name="Picture 5">
          <a:extLst>
            <a:ext uri="{FF2B5EF4-FFF2-40B4-BE49-F238E27FC236}">
              <a16:creationId xmlns:a16="http://schemas.microsoft.com/office/drawing/2014/main" id="{8AC63A4B-7787-49EB-9D0D-7BF347F484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6965"/>
        <a:stretch/>
      </xdr:blipFill>
      <xdr:spPr>
        <a:xfrm>
          <a:off x="1975484" y="29622748"/>
          <a:ext cx="2088000" cy="275656"/>
        </a:xfrm>
        <a:prstGeom prst="rect">
          <a:avLst/>
        </a:prstGeom>
      </xdr:spPr>
    </xdr:pic>
    <xdr:clientData/>
  </xdr:twoCellAnchor>
  <xdr:twoCellAnchor editAs="oneCell">
    <xdr:from>
      <xdr:col>1</xdr:col>
      <xdr:colOff>53340</xdr:colOff>
      <xdr:row>0</xdr:row>
      <xdr:rowOff>76199</xdr:rowOff>
    </xdr:from>
    <xdr:to>
      <xdr:col>3</xdr:col>
      <xdr:colOff>401552</xdr:colOff>
      <xdr:row>4</xdr:row>
      <xdr:rowOff>143812</xdr:rowOff>
    </xdr:to>
    <xdr:pic>
      <xdr:nvPicPr>
        <xdr:cNvPr id="4" name="Picture 3" descr="FIL - Feira Internacional de Lisboa | LinkedIn">
          <a:extLst>
            <a:ext uri="{FF2B5EF4-FFF2-40B4-BE49-F238E27FC236}">
              <a16:creationId xmlns:a16="http://schemas.microsoft.com/office/drawing/2014/main" id="{3CD9FCDC-C535-4791-BF75-5DBAB101920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600" t="13598" r="13600" b="27001"/>
        <a:stretch/>
      </xdr:blipFill>
      <xdr:spPr bwMode="auto">
        <a:xfrm>
          <a:off x="198120" y="76199"/>
          <a:ext cx="843512" cy="707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396240</xdr:colOff>
      <xdr:row>161</xdr:row>
      <xdr:rowOff>7620</xdr:rowOff>
    </xdr:from>
    <xdr:to>
      <xdr:col>12</xdr:col>
      <xdr:colOff>404700</xdr:colOff>
      <xdr:row>163</xdr:row>
      <xdr:rowOff>130704</xdr:rowOff>
    </xdr:to>
    <xdr:pic>
      <xdr:nvPicPr>
        <xdr:cNvPr id="2" name="Picture 1">
          <a:extLst>
            <a:ext uri="{FF2B5EF4-FFF2-40B4-BE49-F238E27FC236}">
              <a16:creationId xmlns:a16="http://schemas.microsoft.com/office/drawing/2014/main" id="{E7A42B8B-8488-45B3-B41A-76FD1C46DF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75760" y="29512260"/>
          <a:ext cx="900000" cy="443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166686</xdr:colOff>
      <xdr:row>17</xdr:row>
      <xdr:rowOff>152400</xdr:rowOff>
    </xdr:from>
    <xdr:to>
      <xdr:col>13</xdr:col>
      <xdr:colOff>683284</xdr:colOff>
      <xdr:row>25</xdr:row>
      <xdr:rowOff>152400</xdr:rowOff>
    </xdr:to>
    <xdr:pic>
      <xdr:nvPicPr>
        <xdr:cNvPr id="2" name="Picture 1">
          <a:extLst>
            <a:ext uri="{FF2B5EF4-FFF2-40B4-BE49-F238E27FC236}">
              <a16:creationId xmlns:a16="http://schemas.microsoft.com/office/drawing/2014/main" id="{905DE50C-3D51-4E6E-9CBD-9861192C5A9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71146" y="7185660"/>
          <a:ext cx="1423378" cy="1402080"/>
        </a:xfrm>
        <a:prstGeom prst="rect">
          <a:avLst/>
        </a:prstGeom>
      </xdr:spPr>
    </xdr:pic>
    <xdr:clientData/>
  </xdr:twoCellAnchor>
  <xdr:twoCellAnchor editAs="oneCell">
    <xdr:from>
      <xdr:col>0</xdr:col>
      <xdr:colOff>142875</xdr:colOff>
      <xdr:row>0</xdr:row>
      <xdr:rowOff>133351</xdr:rowOff>
    </xdr:from>
    <xdr:to>
      <xdr:col>2</xdr:col>
      <xdr:colOff>574830</xdr:colOff>
      <xdr:row>3</xdr:row>
      <xdr:rowOff>145824</xdr:rowOff>
    </xdr:to>
    <xdr:pic>
      <xdr:nvPicPr>
        <xdr:cNvPr id="3" name="Picture 2">
          <a:extLst>
            <a:ext uri="{FF2B5EF4-FFF2-40B4-BE49-F238E27FC236}">
              <a16:creationId xmlns:a16="http://schemas.microsoft.com/office/drawing/2014/main" id="{D7086493-C73F-45A4-A5F5-FFEA61995C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875" y="133351"/>
          <a:ext cx="805335" cy="538253"/>
        </a:xfrm>
        <a:prstGeom prst="rect">
          <a:avLst/>
        </a:prstGeom>
      </xdr:spPr>
    </xdr:pic>
    <xdr:clientData/>
  </xdr:twoCellAnchor>
  <xdr:twoCellAnchor>
    <xdr:from>
      <xdr:col>12</xdr:col>
      <xdr:colOff>289560</xdr:colOff>
      <xdr:row>77</xdr:row>
      <xdr:rowOff>38100</xdr:rowOff>
    </xdr:from>
    <xdr:to>
      <xdr:col>13</xdr:col>
      <xdr:colOff>671257</xdr:colOff>
      <xdr:row>83</xdr:row>
      <xdr:rowOff>38100</xdr:rowOff>
    </xdr:to>
    <xdr:pic>
      <xdr:nvPicPr>
        <xdr:cNvPr id="17" name="Picture 25">
          <a:extLst>
            <a:ext uri="{FF2B5EF4-FFF2-40B4-BE49-F238E27FC236}">
              <a16:creationId xmlns:a16="http://schemas.microsoft.com/office/drawing/2014/main" id="{B380C9A7-4CDB-47DC-9B7B-F36C90D799A8}"/>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237" t="8375" r="18272" b="8376"/>
        <a:stretch/>
      </xdr:blipFill>
      <xdr:spPr bwMode="auto">
        <a:xfrm>
          <a:off x="5494020" y="33886140"/>
          <a:ext cx="1288477"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160020</xdr:colOff>
      <xdr:row>90</xdr:row>
      <xdr:rowOff>53340</xdr:rowOff>
    </xdr:from>
    <xdr:to>
      <xdr:col>13</xdr:col>
      <xdr:colOff>641473</xdr:colOff>
      <xdr:row>96</xdr:row>
      <xdr:rowOff>76200</xdr:rowOff>
    </xdr:to>
    <xdr:pic>
      <xdr:nvPicPr>
        <xdr:cNvPr id="18" name="Picture 26">
          <a:extLst>
            <a:ext uri="{FF2B5EF4-FFF2-40B4-BE49-F238E27FC236}">
              <a16:creationId xmlns:a16="http://schemas.microsoft.com/office/drawing/2014/main" id="{7F5047C2-50F5-4C5A-A998-C9945303366F}"/>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9776" t="10026" r="9980" b="8402"/>
        <a:stretch/>
      </xdr:blipFill>
      <xdr:spPr bwMode="auto">
        <a:xfrm>
          <a:off x="5364480" y="36179760"/>
          <a:ext cx="1388233" cy="1074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605756</xdr:colOff>
      <xdr:row>36</xdr:row>
      <xdr:rowOff>3089</xdr:rowOff>
    </xdr:from>
    <xdr:ext cx="971584" cy="728431"/>
    <xdr:pic>
      <xdr:nvPicPr>
        <xdr:cNvPr id="23" name="Picture 22">
          <a:extLst>
            <a:ext uri="{FF2B5EF4-FFF2-40B4-BE49-F238E27FC236}">
              <a16:creationId xmlns:a16="http://schemas.microsoft.com/office/drawing/2014/main" id="{216138DF-C267-470D-8D7D-64BA3C38218D}"/>
            </a:ext>
          </a:extLst>
        </xdr:cNvPr>
        <xdr:cNvPicPr>
          <a:picLocks noChangeAspect="1"/>
        </xdr:cNvPicPr>
      </xdr:nvPicPr>
      <xdr:blipFill rotWithShape="1">
        <a:blip xmlns:r="http://schemas.openxmlformats.org/officeDocument/2006/relationships" r:embed="rId5"/>
        <a:srcRect l="5825" t="12211" r="8645" b="14519"/>
        <a:stretch/>
      </xdr:blipFill>
      <xdr:spPr>
        <a:xfrm>
          <a:off x="5810216" y="26665469"/>
          <a:ext cx="971584" cy="728431"/>
        </a:xfrm>
        <a:prstGeom prst="rect">
          <a:avLst/>
        </a:prstGeom>
      </xdr:spPr>
    </xdr:pic>
    <xdr:clientData/>
  </xdr:oneCellAnchor>
  <xdr:twoCellAnchor editAs="oneCell">
    <xdr:from>
      <xdr:col>12</xdr:col>
      <xdr:colOff>423948</xdr:colOff>
      <xdr:row>63</xdr:row>
      <xdr:rowOff>88432</xdr:rowOff>
    </xdr:from>
    <xdr:to>
      <xdr:col>13</xdr:col>
      <xdr:colOff>731519</xdr:colOff>
      <xdr:row>69</xdr:row>
      <xdr:rowOff>91440</xdr:rowOff>
    </xdr:to>
    <xdr:pic>
      <xdr:nvPicPr>
        <xdr:cNvPr id="26" name="Picture 25">
          <a:extLst>
            <a:ext uri="{FF2B5EF4-FFF2-40B4-BE49-F238E27FC236}">
              <a16:creationId xmlns:a16="http://schemas.microsoft.com/office/drawing/2014/main" id="{EA33F581-15D4-464C-8771-69A220A51BF0}"/>
            </a:ext>
          </a:extLst>
        </xdr:cNvPr>
        <xdr:cNvPicPr>
          <a:picLocks noChangeAspect="1"/>
        </xdr:cNvPicPr>
      </xdr:nvPicPr>
      <xdr:blipFill rotWithShape="1">
        <a:blip xmlns:r="http://schemas.openxmlformats.org/officeDocument/2006/relationships" r:embed="rId6"/>
        <a:srcRect l="10905" t="7188" r="12001" b="6555"/>
        <a:stretch/>
      </xdr:blipFill>
      <xdr:spPr>
        <a:xfrm>
          <a:off x="5628408" y="31482832"/>
          <a:ext cx="1214351" cy="1054568"/>
        </a:xfrm>
        <a:prstGeom prst="rect">
          <a:avLst/>
        </a:prstGeom>
      </xdr:spPr>
    </xdr:pic>
    <xdr:clientData/>
  </xdr:twoCellAnchor>
  <xdr:oneCellAnchor>
    <xdr:from>
      <xdr:col>5</xdr:col>
      <xdr:colOff>260985</xdr:colOff>
      <xdr:row>155</xdr:row>
      <xdr:rowOff>170815</xdr:rowOff>
    </xdr:from>
    <xdr:ext cx="2088000" cy="269283"/>
    <xdr:pic>
      <xdr:nvPicPr>
        <xdr:cNvPr id="21" name="Picture 20">
          <a:extLst>
            <a:ext uri="{FF2B5EF4-FFF2-40B4-BE49-F238E27FC236}">
              <a16:creationId xmlns:a16="http://schemas.microsoft.com/office/drawing/2014/main" id="{3A68CBCC-7D62-4F80-9A58-7F4E3027C0A1}"/>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6965"/>
        <a:stretch/>
      </xdr:blipFill>
      <xdr:spPr>
        <a:xfrm>
          <a:off x="1960245" y="63828295"/>
          <a:ext cx="2088000" cy="269283"/>
        </a:xfrm>
        <a:prstGeom prst="rect">
          <a:avLst/>
        </a:prstGeom>
      </xdr:spPr>
    </xdr:pic>
    <xdr:clientData/>
  </xdr:oneCellAnchor>
  <xdr:twoCellAnchor editAs="oneCell">
    <xdr:from>
      <xdr:col>9</xdr:col>
      <xdr:colOff>480060</xdr:colOff>
      <xdr:row>155</xdr:row>
      <xdr:rowOff>22860</xdr:rowOff>
    </xdr:from>
    <xdr:to>
      <xdr:col>11</xdr:col>
      <xdr:colOff>267540</xdr:colOff>
      <xdr:row>157</xdr:row>
      <xdr:rowOff>115464</xdr:rowOff>
    </xdr:to>
    <xdr:pic>
      <xdr:nvPicPr>
        <xdr:cNvPr id="4" name="Picture 3">
          <a:extLst>
            <a:ext uri="{FF2B5EF4-FFF2-40B4-BE49-F238E27FC236}">
              <a16:creationId xmlns:a16="http://schemas.microsoft.com/office/drawing/2014/main" id="{21E37882-6444-4453-9A4F-98E53696B65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183380" y="63680340"/>
          <a:ext cx="900000" cy="443124"/>
        </a:xfrm>
        <a:prstGeom prst="rect">
          <a:avLst/>
        </a:prstGeom>
      </xdr:spPr>
    </xdr:pic>
    <xdr:clientData/>
  </xdr:twoCellAnchor>
  <xdr:twoCellAnchor>
    <xdr:from>
      <xdr:col>12</xdr:col>
      <xdr:colOff>632460</xdr:colOff>
      <xdr:row>30</xdr:row>
      <xdr:rowOff>160020</xdr:rowOff>
    </xdr:from>
    <xdr:to>
      <xdr:col>13</xdr:col>
      <xdr:colOff>642642</xdr:colOff>
      <xdr:row>34</xdr:row>
      <xdr:rowOff>99060</xdr:rowOff>
    </xdr:to>
    <xdr:pic>
      <xdr:nvPicPr>
        <xdr:cNvPr id="14" name="Picture 21">
          <a:extLst>
            <a:ext uri="{FF2B5EF4-FFF2-40B4-BE49-F238E27FC236}">
              <a16:creationId xmlns:a16="http://schemas.microsoft.com/office/drawing/2014/main" id="{FA3DD1C8-B189-4354-BF4E-505DF0A7587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836920" y="25770840"/>
          <a:ext cx="916962"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685800</xdr:colOff>
      <xdr:row>52</xdr:row>
      <xdr:rowOff>167640</xdr:rowOff>
    </xdr:from>
    <xdr:to>
      <xdr:col>14</xdr:col>
      <xdr:colOff>54864</xdr:colOff>
      <xdr:row>57</xdr:row>
      <xdr:rowOff>169065</xdr:rowOff>
    </xdr:to>
    <xdr:pic>
      <xdr:nvPicPr>
        <xdr:cNvPr id="15" name="Picture 23">
          <a:extLst>
            <a:ext uri="{FF2B5EF4-FFF2-40B4-BE49-F238E27FC236}">
              <a16:creationId xmlns:a16="http://schemas.microsoft.com/office/drawing/2014/main" id="{A8083794-D098-4A7E-8D42-A23CB755EC1E}"/>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7060" r="10148" b="9283"/>
        <a:stretch/>
      </xdr:blipFill>
      <xdr:spPr bwMode="auto">
        <a:xfrm>
          <a:off x="5890260" y="29634180"/>
          <a:ext cx="1037844" cy="87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701040</xdr:colOff>
      <xdr:row>47</xdr:row>
      <xdr:rowOff>7620</xdr:rowOff>
    </xdr:from>
    <xdr:to>
      <xdr:col>14</xdr:col>
      <xdr:colOff>7620</xdr:colOff>
      <xdr:row>51</xdr:row>
      <xdr:rowOff>138060</xdr:rowOff>
    </xdr:to>
    <xdr:pic>
      <xdr:nvPicPr>
        <xdr:cNvPr id="24" name="Picture 22">
          <a:extLst>
            <a:ext uri="{FF2B5EF4-FFF2-40B4-BE49-F238E27FC236}">
              <a16:creationId xmlns:a16="http://schemas.microsoft.com/office/drawing/2014/main" id="{8A07DAA4-FA20-438E-878A-D7F4AF7FAD4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905500" y="28597860"/>
          <a:ext cx="975360" cy="83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678180</xdr:colOff>
      <xdr:row>122</xdr:row>
      <xdr:rowOff>144780</xdr:rowOff>
    </xdr:from>
    <xdr:to>
      <xdr:col>13</xdr:col>
      <xdr:colOff>683889</xdr:colOff>
      <xdr:row>127</xdr:row>
      <xdr:rowOff>30480</xdr:rowOff>
    </xdr:to>
    <xdr:pic>
      <xdr:nvPicPr>
        <xdr:cNvPr id="25" name="Picture 24">
          <a:extLst>
            <a:ext uri="{FF2B5EF4-FFF2-40B4-BE49-F238E27FC236}">
              <a16:creationId xmlns:a16="http://schemas.microsoft.com/office/drawing/2014/main" id="{BAEC6B23-811D-470F-B063-247932F86AA9}"/>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882640" y="41879520"/>
          <a:ext cx="912489" cy="762000"/>
        </a:xfrm>
        <a:prstGeom prst="rect">
          <a:avLst/>
        </a:prstGeom>
      </xdr:spPr>
    </xdr:pic>
    <xdr:clientData/>
  </xdr:twoCellAnchor>
  <xdr:twoCellAnchor editAs="oneCell">
    <xdr:from>
      <xdr:col>12</xdr:col>
      <xdr:colOff>655320</xdr:colOff>
      <xdr:row>104</xdr:row>
      <xdr:rowOff>45720</xdr:rowOff>
    </xdr:from>
    <xdr:to>
      <xdr:col>13</xdr:col>
      <xdr:colOff>680779</xdr:colOff>
      <xdr:row>107</xdr:row>
      <xdr:rowOff>160489</xdr:rowOff>
    </xdr:to>
    <xdr:pic>
      <xdr:nvPicPr>
        <xdr:cNvPr id="27" name="Picture 26">
          <a:extLst>
            <a:ext uri="{FF2B5EF4-FFF2-40B4-BE49-F238E27FC236}">
              <a16:creationId xmlns:a16="http://schemas.microsoft.com/office/drawing/2014/main" id="{77130A48-F8DD-4BF2-83CC-C276E9880EC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859780" y="38625780"/>
          <a:ext cx="932239" cy="640549"/>
        </a:xfrm>
        <a:prstGeom prst="rect">
          <a:avLst/>
        </a:prstGeom>
      </xdr:spPr>
    </xdr:pic>
    <xdr:clientData/>
  </xdr:twoCellAnchor>
  <xdr:twoCellAnchor editAs="oneCell">
    <xdr:from>
      <xdr:col>12</xdr:col>
      <xdr:colOff>678180</xdr:colOff>
      <xdr:row>108</xdr:row>
      <xdr:rowOff>99386</xdr:rowOff>
    </xdr:from>
    <xdr:to>
      <xdr:col>13</xdr:col>
      <xdr:colOff>693420</xdr:colOff>
      <xdr:row>112</xdr:row>
      <xdr:rowOff>152400</xdr:rowOff>
    </xdr:to>
    <xdr:pic>
      <xdr:nvPicPr>
        <xdr:cNvPr id="28" name="Picture 27">
          <a:extLst>
            <a:ext uri="{FF2B5EF4-FFF2-40B4-BE49-F238E27FC236}">
              <a16:creationId xmlns:a16="http://schemas.microsoft.com/office/drawing/2014/main" id="{B7ABA933-6970-444E-8A29-EB86C23DE05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882640" y="39380486"/>
          <a:ext cx="922020" cy="754054"/>
        </a:xfrm>
        <a:prstGeom prst="rect">
          <a:avLst/>
        </a:prstGeom>
      </xdr:spPr>
    </xdr:pic>
    <xdr:clientData/>
  </xdr:twoCellAnchor>
  <xdr:twoCellAnchor editAs="oneCell">
    <xdr:from>
      <xdr:col>12</xdr:col>
      <xdr:colOff>716280</xdr:colOff>
      <xdr:row>113</xdr:row>
      <xdr:rowOff>65286</xdr:rowOff>
    </xdr:from>
    <xdr:to>
      <xdr:col>13</xdr:col>
      <xdr:colOff>723900</xdr:colOff>
      <xdr:row>117</xdr:row>
      <xdr:rowOff>160020</xdr:rowOff>
    </xdr:to>
    <xdr:pic>
      <xdr:nvPicPr>
        <xdr:cNvPr id="29" name="Picture 28">
          <a:extLst>
            <a:ext uri="{FF2B5EF4-FFF2-40B4-BE49-F238E27FC236}">
              <a16:creationId xmlns:a16="http://schemas.microsoft.com/office/drawing/2014/main" id="{968511A6-BB4B-4463-985C-FC1275A883A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20740" y="40222686"/>
          <a:ext cx="914400" cy="795774"/>
        </a:xfrm>
        <a:prstGeom prst="rect">
          <a:avLst/>
        </a:prstGeom>
      </xdr:spPr>
    </xdr:pic>
    <xdr:clientData/>
  </xdr:twoCellAnchor>
  <xdr:twoCellAnchor editAs="oneCell">
    <xdr:from>
      <xdr:col>12</xdr:col>
      <xdr:colOff>716280</xdr:colOff>
      <xdr:row>118</xdr:row>
      <xdr:rowOff>99060</xdr:rowOff>
    </xdr:from>
    <xdr:to>
      <xdr:col>13</xdr:col>
      <xdr:colOff>737400</xdr:colOff>
      <xdr:row>122</xdr:row>
      <xdr:rowOff>95653</xdr:rowOff>
    </xdr:to>
    <xdr:pic>
      <xdr:nvPicPr>
        <xdr:cNvPr id="31" name="Picture 30">
          <a:extLst>
            <a:ext uri="{FF2B5EF4-FFF2-40B4-BE49-F238E27FC236}">
              <a16:creationId xmlns:a16="http://schemas.microsoft.com/office/drawing/2014/main" id="{7AEA2A71-D49D-4AEC-BE86-06383F82EFE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920740" y="41132760"/>
          <a:ext cx="927900" cy="697633"/>
        </a:xfrm>
        <a:prstGeom prst="rect">
          <a:avLst/>
        </a:prstGeom>
      </xdr:spPr>
    </xdr:pic>
    <xdr:clientData/>
  </xdr:twoCellAnchor>
  <xdr:twoCellAnchor editAs="oneCell">
    <xdr:from>
      <xdr:col>12</xdr:col>
      <xdr:colOff>716280</xdr:colOff>
      <xdr:row>142</xdr:row>
      <xdr:rowOff>152400</xdr:rowOff>
    </xdr:from>
    <xdr:to>
      <xdr:col>13</xdr:col>
      <xdr:colOff>671312</xdr:colOff>
      <xdr:row>146</xdr:row>
      <xdr:rowOff>148614</xdr:rowOff>
    </xdr:to>
    <xdr:pic>
      <xdr:nvPicPr>
        <xdr:cNvPr id="33" name="Picture 32">
          <a:extLst>
            <a:ext uri="{FF2B5EF4-FFF2-40B4-BE49-F238E27FC236}">
              <a16:creationId xmlns:a16="http://schemas.microsoft.com/office/drawing/2014/main" id="{6FAC2BC5-86C9-4E48-9E8E-07549E580C5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920740" y="45392340"/>
          <a:ext cx="861812" cy="697254"/>
        </a:xfrm>
        <a:prstGeom prst="rect">
          <a:avLst/>
        </a:prstGeom>
      </xdr:spPr>
    </xdr:pic>
    <xdr:clientData/>
  </xdr:twoCellAnchor>
  <xdr:twoCellAnchor editAs="oneCell">
    <xdr:from>
      <xdr:col>12</xdr:col>
      <xdr:colOff>701041</xdr:colOff>
      <xdr:row>147</xdr:row>
      <xdr:rowOff>106680</xdr:rowOff>
    </xdr:from>
    <xdr:to>
      <xdr:col>13</xdr:col>
      <xdr:colOff>736239</xdr:colOff>
      <xdr:row>151</xdr:row>
      <xdr:rowOff>166457</xdr:rowOff>
    </xdr:to>
    <xdr:pic>
      <xdr:nvPicPr>
        <xdr:cNvPr id="35" name="Picture 34">
          <a:extLst>
            <a:ext uri="{FF2B5EF4-FFF2-40B4-BE49-F238E27FC236}">
              <a16:creationId xmlns:a16="http://schemas.microsoft.com/office/drawing/2014/main" id="{DB26D8E5-8425-4F0D-ABAA-FBB2E28AA291}"/>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905501" y="46222920"/>
          <a:ext cx="941978" cy="760817"/>
        </a:xfrm>
        <a:prstGeom prst="rect">
          <a:avLst/>
        </a:prstGeom>
      </xdr:spPr>
    </xdr:pic>
    <xdr:clientData/>
  </xdr:twoCellAnchor>
  <xdr:twoCellAnchor editAs="oneCell">
    <xdr:from>
      <xdr:col>12</xdr:col>
      <xdr:colOff>754380</xdr:colOff>
      <xdr:row>133</xdr:row>
      <xdr:rowOff>30480</xdr:rowOff>
    </xdr:from>
    <xdr:to>
      <xdr:col>13</xdr:col>
      <xdr:colOff>701040</xdr:colOff>
      <xdr:row>137</xdr:row>
      <xdr:rowOff>48167</xdr:rowOff>
    </xdr:to>
    <xdr:pic>
      <xdr:nvPicPr>
        <xdr:cNvPr id="36" name="Picture 35">
          <a:extLst>
            <a:ext uri="{FF2B5EF4-FFF2-40B4-BE49-F238E27FC236}">
              <a16:creationId xmlns:a16="http://schemas.microsoft.com/office/drawing/2014/main" id="{F8DDEFDE-9EA1-4D66-8384-D5BD0EDD1EA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958840" y="43693080"/>
          <a:ext cx="853440" cy="718727"/>
        </a:xfrm>
        <a:prstGeom prst="rect">
          <a:avLst/>
        </a:prstGeom>
      </xdr:spPr>
    </xdr:pic>
    <xdr:clientData/>
  </xdr:twoCellAnchor>
  <xdr:twoCellAnchor editAs="oneCell">
    <xdr:from>
      <xdr:col>12</xdr:col>
      <xdr:colOff>746760</xdr:colOff>
      <xdr:row>138</xdr:row>
      <xdr:rowOff>68581</xdr:rowOff>
    </xdr:from>
    <xdr:to>
      <xdr:col>13</xdr:col>
      <xdr:colOff>717694</xdr:colOff>
      <xdr:row>142</xdr:row>
      <xdr:rowOff>89977</xdr:rowOff>
    </xdr:to>
    <xdr:pic>
      <xdr:nvPicPr>
        <xdr:cNvPr id="37" name="Picture 36">
          <a:extLst>
            <a:ext uri="{FF2B5EF4-FFF2-40B4-BE49-F238E27FC236}">
              <a16:creationId xmlns:a16="http://schemas.microsoft.com/office/drawing/2014/main" id="{C46D9E35-6D1D-4741-BA4E-B49B59B04D7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951220" y="44607481"/>
          <a:ext cx="877714" cy="7224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ervifil@ccl.fil.pt" TargetMode="External"/><Relationship Id="rId2" Type="http://schemas.openxmlformats.org/officeDocument/2006/relationships/hyperlink" Target="https://www.fil.pt/documentos-envio/" TargetMode="External"/><Relationship Id="rId1"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Y233"/>
  <sheetViews>
    <sheetView showGridLines="0" tabSelected="1" zoomScaleNormal="100" workbookViewId="0">
      <selection activeCell="L1" sqref="L1:M1"/>
    </sheetView>
  </sheetViews>
  <sheetFormatPr defaultColWidth="9.109375" defaultRowHeight="13.2" customHeight="1" x14ac:dyDescent="0.25"/>
  <cols>
    <col min="1" max="1" width="2.5546875" style="138" customWidth="1"/>
    <col min="2" max="2" width="2.21875" style="17" customWidth="1"/>
    <col min="3" max="3" width="7.109375" style="17" customWidth="1"/>
    <col min="4" max="4" width="8.109375" style="17" customWidth="1"/>
    <col min="5" max="5" width="6.21875" style="17" customWidth="1"/>
    <col min="6" max="6" width="6.88671875" style="17" customWidth="1"/>
    <col min="7" max="7" width="5.5546875" style="17" customWidth="1"/>
    <col min="8" max="8" width="5.109375" style="17" customWidth="1"/>
    <col min="9" max="9" width="6.88671875" style="17" customWidth="1"/>
    <col min="10" max="10" width="5.21875" style="17" customWidth="1"/>
    <col min="11" max="11" width="5.33203125" style="17" customWidth="1"/>
    <col min="12" max="12" width="5.5546875" style="17" customWidth="1"/>
    <col min="13" max="13" width="5.77734375" style="17" customWidth="1"/>
    <col min="14" max="14" width="6" style="17" customWidth="1"/>
    <col min="15" max="15" width="5" style="17" customWidth="1"/>
    <col min="16" max="16" width="6" style="17" customWidth="1"/>
    <col min="17" max="17" width="8.5546875" style="17" customWidth="1"/>
    <col min="18" max="18" width="2.5546875" style="17" customWidth="1"/>
    <col min="19" max="19" width="1.5546875" style="138" customWidth="1"/>
    <col min="20" max="20" width="9" style="560" hidden="1" customWidth="1"/>
    <col min="21" max="21" width="16.6640625" style="560" hidden="1" customWidth="1"/>
    <col min="22" max="22" width="4.44140625" style="512" hidden="1" customWidth="1"/>
    <col min="23" max="23" width="4.21875" style="519" hidden="1" customWidth="1"/>
    <col min="24" max="24" width="14.44140625" style="519" hidden="1" customWidth="1"/>
    <col min="25" max="25" width="14.109375" style="519" hidden="1" customWidth="1"/>
    <col min="26" max="26" width="7.109375" style="519" hidden="1" customWidth="1"/>
    <col min="27" max="27" width="11" style="519" hidden="1" customWidth="1"/>
    <col min="28" max="28" width="5.77734375" style="519" hidden="1" customWidth="1"/>
    <col min="29" max="29" width="3.33203125" style="519" hidden="1" customWidth="1"/>
    <col min="30" max="30" width="6.33203125" style="519" hidden="1" customWidth="1"/>
    <col min="31" max="31" width="5.77734375" style="573" hidden="1" customWidth="1"/>
    <col min="32" max="33" width="5.88671875" style="573" hidden="1" customWidth="1"/>
    <col min="34" max="34" width="6.5546875" style="573" hidden="1" customWidth="1"/>
    <col min="35" max="37" width="6.109375" style="573" hidden="1" customWidth="1"/>
    <col min="38" max="39" width="6.109375" style="519" hidden="1" customWidth="1"/>
    <col min="40" max="40" width="6.88671875" style="519" hidden="1" customWidth="1"/>
    <col min="41" max="41" width="4.6640625" style="512" hidden="1" customWidth="1"/>
    <col min="42" max="42" width="4.33203125" style="512" hidden="1" customWidth="1"/>
    <col min="43" max="43" width="3.88671875" style="512" hidden="1" customWidth="1"/>
    <col min="44" max="44" width="3.77734375" style="512" hidden="1" customWidth="1"/>
    <col min="45" max="45" width="13" style="512" hidden="1" customWidth="1"/>
    <col min="46" max="46" width="15.33203125" style="512" hidden="1" customWidth="1"/>
    <col min="47" max="47" width="17.109375" style="512" hidden="1" customWidth="1"/>
    <col min="48" max="48" width="15.33203125" style="512" hidden="1" customWidth="1"/>
    <col min="49" max="49" width="15.88671875" style="512" hidden="1" customWidth="1"/>
    <col min="50" max="51" width="9.109375" style="512" hidden="1" customWidth="1"/>
    <col min="52" max="16384" width="9.109375" style="17"/>
  </cols>
  <sheetData>
    <row r="1" spans="1:49" ht="15" customHeight="1" thickTop="1" thickBot="1" x14ac:dyDescent="0.3">
      <c r="A1" s="254"/>
      <c r="B1" s="255"/>
      <c r="C1" s="255"/>
      <c r="D1" s="255"/>
      <c r="E1" s="255"/>
      <c r="F1" s="255"/>
      <c r="G1" s="831" t="s">
        <v>117</v>
      </c>
      <c r="H1" s="831"/>
      <c r="I1" s="831"/>
      <c r="J1" s="831"/>
      <c r="K1" s="832"/>
      <c r="L1" s="822" t="s">
        <v>6</v>
      </c>
      <c r="M1" s="823"/>
      <c r="N1" s="255"/>
      <c r="O1" s="255"/>
      <c r="P1" s="255"/>
      <c r="Q1" s="255"/>
      <c r="R1" s="255"/>
      <c r="S1" s="262"/>
      <c r="T1" s="492" t="s">
        <v>6</v>
      </c>
      <c r="U1" s="493"/>
      <c r="V1" s="494">
        <f>IF($E$12=0,$V$6,(IF($N$14=$U$4,$V$4,(IF($N$14=$U$5,$V$5,(IF($E$12=$U$6,$V$6,(IF($E$12=$U$8,$V$6,(IF($E$12=$U$7,$V$6,(IF($E$12=$U$9,$V$6,)))))))))))))</f>
        <v>0.23</v>
      </c>
      <c r="W1" s="495">
        <f>'T1'!$B$11</f>
        <v>5</v>
      </c>
      <c r="X1" s="496" t="s">
        <v>801</v>
      </c>
      <c r="Y1" s="497" t="str">
        <f>'T1'!$K$21</f>
        <v>(Sob Orçamento)</v>
      </c>
      <c r="Z1" s="498"/>
      <c r="AA1" s="499">
        <f>VLOOKUP(K18,Y2:AA17,3,)</f>
        <v>0</v>
      </c>
      <c r="AB1" s="500">
        <f>VLOOKUP($K$18,Y2:AB17,4,)</f>
        <v>0</v>
      </c>
      <c r="AC1" s="501"/>
      <c r="AD1" s="502" t="s">
        <v>466</v>
      </c>
      <c r="AE1" s="503" t="s">
        <v>231</v>
      </c>
      <c r="AF1" s="503" t="s">
        <v>234</v>
      </c>
      <c r="AG1" s="503" t="s">
        <v>232</v>
      </c>
      <c r="AH1" s="503" t="s">
        <v>233</v>
      </c>
      <c r="AI1" s="503" t="s">
        <v>957</v>
      </c>
      <c r="AJ1" s="503" t="s">
        <v>586</v>
      </c>
      <c r="AK1" s="503" t="s">
        <v>587</v>
      </c>
      <c r="AL1" s="503" t="s">
        <v>588</v>
      </c>
      <c r="AM1" s="503" t="s">
        <v>589</v>
      </c>
      <c r="AN1" s="504" t="s">
        <v>599</v>
      </c>
      <c r="AO1" s="818" t="s">
        <v>672</v>
      </c>
      <c r="AP1" s="821"/>
      <c r="AQ1" s="817" t="s">
        <v>673</v>
      </c>
      <c r="AR1" s="818"/>
      <c r="AS1" s="507"/>
      <c r="AT1" s="607" t="s">
        <v>186</v>
      </c>
      <c r="AU1" s="509"/>
      <c r="AV1" s="510">
        <f>VLOOKUP($K$80,AT2:AV6,3,)</f>
        <v>0</v>
      </c>
      <c r="AW1" s="511">
        <f>VLOOKUP($K$80,AT2:AW6,4,)</f>
        <v>0</v>
      </c>
    </row>
    <row r="2" spans="1:49" ht="12" customHeight="1" thickTop="1" x14ac:dyDescent="0.2">
      <c r="A2" s="828" t="str">
        <f>'T1'!$M$11</f>
        <v>REQUISIÇÃO DE STAND E SERVIÇOS FIL</v>
      </c>
      <c r="B2" s="829"/>
      <c r="C2" s="829"/>
      <c r="D2" s="829"/>
      <c r="E2" s="829"/>
      <c r="F2" s="829"/>
      <c r="G2" s="829"/>
      <c r="H2" s="829"/>
      <c r="I2" s="829"/>
      <c r="J2" s="829"/>
      <c r="K2" s="829"/>
      <c r="L2" s="829"/>
      <c r="M2" s="829"/>
      <c r="N2" s="829"/>
      <c r="O2" s="829"/>
      <c r="P2" s="829"/>
      <c r="Q2" s="829"/>
      <c r="R2" s="829"/>
      <c r="S2" s="830"/>
      <c r="T2" s="492" t="s">
        <v>7</v>
      </c>
      <c r="U2" s="513">
        <f>IF($E$12=$U$6,$U$4,IF($E$12=$U$7,$U$4,IF($E$12=$U$8,$U$4,IF($E$12=$U$9,$U$4,))))</f>
        <v>0</v>
      </c>
      <c r="V2" s="514"/>
      <c r="W2" s="515"/>
      <c r="X2" s="516"/>
      <c r="Y2" s="517">
        <v>0</v>
      </c>
      <c r="Z2" s="518"/>
      <c r="AB2" s="520"/>
      <c r="AC2" s="521"/>
      <c r="AD2" s="522">
        <f>VLOOKUP($W$1,$AC$3:$AD$9,2,)</f>
        <v>112.82</v>
      </c>
      <c r="AE2" s="523">
        <f>VLOOKUP($W$1,$AC$3:$AE$9,3,)</f>
        <v>15.53</v>
      </c>
      <c r="AF2" s="524">
        <f>VLOOKUP($W$1,$AC$3:$AF$9,4,)</f>
        <v>62.1</v>
      </c>
      <c r="AG2" s="524">
        <f>VLOOKUP($W$1,$AC$3:$AG$9,5,)</f>
        <v>521.64</v>
      </c>
      <c r="AH2" s="525">
        <f>VLOOKUP($W$1,$AC$3:$AH$9,6,)</f>
        <v>938.75</v>
      </c>
      <c r="AI2" s="526">
        <f>VLOOKUP($W$1,$AC$3:$AI$9,7,)</f>
        <v>1863</v>
      </c>
      <c r="AJ2" s="527">
        <f>VLOOKUP($W$1,$AC$3:$AJ$9,8,)</f>
        <v>192.51</v>
      </c>
      <c r="AK2" s="527">
        <f>VLOOKUP($W$1,$AC$3:$AK$9,9,)</f>
        <v>278.42</v>
      </c>
      <c r="AL2" s="527">
        <f>VLOOKUP($W$1,$AC$3:$AL$9,10,)</f>
        <v>450.23</v>
      </c>
      <c r="AM2" s="527">
        <f>VLOOKUP($W$1,$AC$3:$AM$9,11,)</f>
        <v>965.66</v>
      </c>
      <c r="AN2" s="527">
        <f>VLOOKUP($W$1,$AC$3:$AN$9,12,)</f>
        <v>1824.71</v>
      </c>
      <c r="AO2" s="528"/>
      <c r="AP2" s="528"/>
      <c r="AQ2" s="528"/>
      <c r="AR2" s="529"/>
      <c r="AS2" s="530">
        <f>IF($H$18&gt;0,AS5,)</f>
        <v>0</v>
      </c>
      <c r="AT2" s="611">
        <v>0</v>
      </c>
      <c r="AU2" s="612"/>
      <c r="AV2" s="519"/>
      <c r="AW2" s="514"/>
    </row>
    <row r="3" spans="1:49" ht="10.199999999999999" x14ac:dyDescent="0.2">
      <c r="A3" s="828"/>
      <c r="B3" s="829"/>
      <c r="C3" s="829"/>
      <c r="D3" s="829"/>
      <c r="E3" s="829"/>
      <c r="F3" s="829"/>
      <c r="G3" s="829"/>
      <c r="H3" s="829"/>
      <c r="I3" s="829"/>
      <c r="J3" s="829"/>
      <c r="K3" s="829"/>
      <c r="L3" s="829"/>
      <c r="M3" s="829"/>
      <c r="N3" s="829"/>
      <c r="O3" s="829"/>
      <c r="P3" s="829"/>
      <c r="Q3" s="829"/>
      <c r="R3" s="829"/>
      <c r="S3" s="830"/>
      <c r="T3" s="492" t="s">
        <v>8</v>
      </c>
      <c r="U3" s="534">
        <f>IF($E$12=$U$6,$U$5,IF($E$12=$U$7,$U$5,IF($E$12=$U$8,$U$5,IF($E$12=$U$9,$U$5,))))</f>
        <v>0</v>
      </c>
      <c r="V3" s="535"/>
      <c r="W3" s="536"/>
      <c r="X3" s="537">
        <f>IF($H$18=$V$12,0,IF($H$18&gt;0,$Y$3,))</f>
        <v>0</v>
      </c>
      <c r="Y3" s="538" t="str">
        <f>'T1'!$K$16</f>
        <v>Projecto Especial FIL</v>
      </c>
      <c r="Z3" s="539"/>
      <c r="AB3" s="540"/>
      <c r="AC3" s="541">
        <v>0</v>
      </c>
      <c r="AD3" s="542"/>
      <c r="AE3" s="543"/>
      <c r="AF3" s="544"/>
      <c r="AG3" s="544"/>
      <c r="AH3" s="544"/>
      <c r="AI3" s="545"/>
      <c r="AJ3" s="519"/>
      <c r="AK3" s="519"/>
      <c r="AN3" s="546"/>
      <c r="AO3" s="547">
        <f t="shared" ref="AO3:AO22" si="0">IF($F$132&gt;0,AC26,)</f>
        <v>0</v>
      </c>
      <c r="AP3" s="548">
        <f t="shared" ref="AP3:AP34" si="1">IF($J$132&gt;0,AC29,)</f>
        <v>0</v>
      </c>
      <c r="AQ3" s="547">
        <f t="shared" ref="AQ3:AQ22" si="2">IF($F$134&gt;0,AC26,)</f>
        <v>0</v>
      </c>
      <c r="AR3" s="549">
        <f t="shared" ref="AR3:AR34" si="3">IF($J$134&gt;0,AC29,)</f>
        <v>0</v>
      </c>
      <c r="AS3" s="530">
        <f>IF($H$18&gt;0,AS6,)</f>
        <v>0</v>
      </c>
      <c r="AT3" s="531" t="str">
        <f>IF($L$1="Português",AT7,IF($L$1="English",AU7,IF($L$1="Español",AV7,IF($L$1="Français",AW7,))))</f>
        <v>Monofásico 10A (2 KW)</v>
      </c>
      <c r="AU3" s="532">
        <f>IF($H$18&gt;0,AT3,)</f>
        <v>0</v>
      </c>
      <c r="AV3" s="554">
        <v>44.85</v>
      </c>
      <c r="AW3" s="541" t="s">
        <v>75</v>
      </c>
    </row>
    <row r="4" spans="1:49" ht="10.199999999999999" x14ac:dyDescent="0.2">
      <c r="A4" s="824" t="str">
        <f>'T1'!$M$6</f>
        <v>Data limite de Inscrição até:</v>
      </c>
      <c r="B4" s="825"/>
      <c r="C4" s="825"/>
      <c r="D4" s="825"/>
      <c r="E4" s="825"/>
      <c r="F4" s="825"/>
      <c r="G4" s="825"/>
      <c r="H4" s="825"/>
      <c r="I4" s="825"/>
      <c r="J4" s="825"/>
      <c r="K4" s="819">
        <f>'T1'!$C$7</f>
        <v>45325</v>
      </c>
      <c r="L4" s="819"/>
      <c r="M4" s="405"/>
      <c r="N4" s="405"/>
      <c r="O4" s="405"/>
      <c r="P4" s="405"/>
      <c r="Q4" s="405"/>
      <c r="R4" s="405"/>
      <c r="S4" s="425"/>
      <c r="T4" s="492" t="s">
        <v>115</v>
      </c>
      <c r="U4" s="550" t="s">
        <v>640</v>
      </c>
      <c r="V4" s="551">
        <v>0.16</v>
      </c>
      <c r="W4" s="552" t="str">
        <f>$V$12</f>
        <v>Não</v>
      </c>
      <c r="X4" s="537">
        <f>IF($H$18=$V$12,0,IF($H$18&gt;0,$Y$4,))</f>
        <v>0</v>
      </c>
      <c r="Y4" s="553" t="s">
        <v>152</v>
      </c>
      <c r="Z4" s="539"/>
      <c r="AA4" s="554">
        <v>27.95</v>
      </c>
      <c r="AB4" s="555">
        <v>407890</v>
      </c>
      <c r="AC4" s="541">
        <v>1</v>
      </c>
      <c r="AD4" s="556">
        <v>48.65</v>
      </c>
      <c r="AE4" s="557">
        <v>7.25</v>
      </c>
      <c r="AF4" s="557">
        <v>28.98</v>
      </c>
      <c r="AG4" s="557">
        <v>243.23</v>
      </c>
      <c r="AH4" s="557">
        <v>437.81</v>
      </c>
      <c r="AI4" s="558">
        <v>1035</v>
      </c>
      <c r="AJ4" s="557">
        <v>102.47</v>
      </c>
      <c r="AK4" s="557">
        <v>133.52000000000001</v>
      </c>
      <c r="AL4" s="557">
        <v>195.62</v>
      </c>
      <c r="AM4" s="557">
        <v>380.88</v>
      </c>
      <c r="AN4" s="559">
        <v>689.31</v>
      </c>
      <c r="AO4" s="547">
        <f t="shared" si="0"/>
        <v>0</v>
      </c>
      <c r="AP4" s="548">
        <f t="shared" si="1"/>
        <v>0</v>
      </c>
      <c r="AQ4" s="547">
        <f t="shared" si="2"/>
        <v>0</v>
      </c>
      <c r="AR4" s="549">
        <f t="shared" si="3"/>
        <v>0</v>
      </c>
      <c r="AS4" s="530">
        <f>IF($H$18&gt;0,AS7,)</f>
        <v>0</v>
      </c>
      <c r="AT4" s="531" t="str">
        <f>IF($L$1="Português",AT8,IF($L$1="English",AU8,IF($L$1="Español",AV8,IF($L$1="Français",AW8,))))</f>
        <v>Trifásico 16A (10 KW)</v>
      </c>
      <c r="AU4" s="532">
        <f>IF($H$18&gt;0,AT4,)</f>
        <v>0</v>
      </c>
      <c r="AV4" s="620">
        <v>69.34</v>
      </c>
      <c r="AW4" s="541" t="s">
        <v>76</v>
      </c>
    </row>
    <row r="5" spans="1:49" ht="13.2" customHeight="1" thickBot="1" x14ac:dyDescent="0.3">
      <c r="A5" s="826" t="str">
        <f>'T1'!$A$17</f>
        <v>28 de Fevereiro a 03 de Março de 2024</v>
      </c>
      <c r="B5" s="827"/>
      <c r="C5" s="827"/>
      <c r="D5" s="827"/>
      <c r="E5" s="827"/>
      <c r="F5" s="827"/>
      <c r="G5" s="827"/>
      <c r="H5" s="827"/>
      <c r="I5" s="827"/>
      <c r="J5" s="827"/>
      <c r="K5" s="827"/>
      <c r="L5" s="827"/>
      <c r="M5" s="827"/>
      <c r="N5" s="827"/>
      <c r="O5" s="827"/>
      <c r="P5" s="827"/>
      <c r="Q5" s="827"/>
      <c r="R5" s="827"/>
      <c r="S5" s="264"/>
      <c r="U5" s="561" t="s">
        <v>641</v>
      </c>
      <c r="V5" s="562">
        <v>0.22</v>
      </c>
      <c r="W5" s="552">
        <v>9</v>
      </c>
      <c r="X5" s="537">
        <f>IF($H$18=$V$12,0,IF($H$18&gt;0,$Y$5,))</f>
        <v>0</v>
      </c>
      <c r="Y5" s="553" t="s">
        <v>151</v>
      </c>
      <c r="Z5" s="518"/>
      <c r="AA5" s="554">
        <v>37.479999999999997</v>
      </c>
      <c r="AB5" s="555">
        <v>407891</v>
      </c>
      <c r="AC5" s="541">
        <v>2</v>
      </c>
      <c r="AD5" s="556">
        <v>66.239999999999995</v>
      </c>
      <c r="AE5" s="557">
        <v>9.32</v>
      </c>
      <c r="AF5" s="557">
        <v>37.26</v>
      </c>
      <c r="AG5" s="557">
        <v>312.57</v>
      </c>
      <c r="AH5" s="557">
        <v>562.01</v>
      </c>
      <c r="AI5" s="558">
        <v>1242</v>
      </c>
      <c r="AJ5" s="557">
        <v>148.01</v>
      </c>
      <c r="AK5" s="557">
        <v>207</v>
      </c>
      <c r="AL5" s="557">
        <v>323.95999999999998</v>
      </c>
      <c r="AM5" s="557">
        <v>676.89</v>
      </c>
      <c r="AN5" s="559">
        <v>1263.74</v>
      </c>
      <c r="AO5" s="547">
        <f t="shared" si="0"/>
        <v>0</v>
      </c>
      <c r="AP5" s="548">
        <f t="shared" si="1"/>
        <v>0</v>
      </c>
      <c r="AQ5" s="547">
        <f t="shared" si="2"/>
        <v>0</v>
      </c>
      <c r="AR5" s="549">
        <f t="shared" si="3"/>
        <v>0</v>
      </c>
      <c r="AS5" s="563" t="str">
        <f>IF($L$1="Português",AS8,IF($L$1="English",AS11,IF($L$1="Español",AS14,IF($L$1="Français",AS17,))))</f>
        <v>Inglês</v>
      </c>
      <c r="AT5" s="531" t="str">
        <f>IF($L$1="Português",AT9,IF($L$1="English",AU9,IF($L$1="Español",AV9,IF($L$1="Français",AW9,))))</f>
        <v>Trifásico 32A (20 KW)</v>
      </c>
      <c r="AU5" s="532">
        <f>IF($H$18&gt;0,AT5,)</f>
        <v>0</v>
      </c>
      <c r="AV5" s="620">
        <v>122.45</v>
      </c>
      <c r="AW5" s="541" t="s">
        <v>77</v>
      </c>
    </row>
    <row r="6" spans="1:49" ht="13.8" x14ac:dyDescent="0.2">
      <c r="A6" s="811" t="str">
        <f>'T2'!$A$3</f>
        <v>Requisições durante a Montagem e Realização tem um AGRAVAMENTO de 30% e está sujeita à disponibilidade do produto</v>
      </c>
      <c r="B6" s="812"/>
      <c r="C6" s="812"/>
      <c r="D6" s="812"/>
      <c r="E6" s="812"/>
      <c r="F6" s="812"/>
      <c r="G6" s="812"/>
      <c r="H6" s="812"/>
      <c r="I6" s="812"/>
      <c r="J6" s="812"/>
      <c r="K6" s="812"/>
      <c r="L6" s="812"/>
      <c r="M6" s="812"/>
      <c r="N6" s="812"/>
      <c r="O6" s="812"/>
      <c r="P6" s="812"/>
      <c r="Q6" s="812"/>
      <c r="R6" s="812"/>
      <c r="S6" s="813"/>
      <c r="U6" s="550" t="s">
        <v>919</v>
      </c>
      <c r="V6" s="551">
        <v>0.23</v>
      </c>
      <c r="W6" s="552">
        <v>18</v>
      </c>
      <c r="X6" s="537">
        <f>IF($H$18=$V$12,0,IF($H$18&gt;0,$Y$6,))</f>
        <v>0</v>
      </c>
      <c r="Y6" s="553" t="s">
        <v>159</v>
      </c>
      <c r="Z6" s="539"/>
      <c r="AA6" s="554">
        <v>32.97</v>
      </c>
      <c r="AB6" s="555">
        <v>410550</v>
      </c>
      <c r="AC6" s="541">
        <v>3</v>
      </c>
      <c r="AD6" s="564">
        <v>82.8</v>
      </c>
      <c r="AE6" s="565">
        <v>11.39</v>
      </c>
      <c r="AF6" s="557">
        <v>45.54</v>
      </c>
      <c r="AG6" s="557">
        <v>381.92</v>
      </c>
      <c r="AH6" s="557">
        <v>687.24</v>
      </c>
      <c r="AI6" s="558">
        <v>1449</v>
      </c>
      <c r="AJ6" s="557">
        <v>167.67</v>
      </c>
      <c r="AK6" s="557">
        <v>238.05</v>
      </c>
      <c r="AL6" s="557">
        <v>379.85</v>
      </c>
      <c r="AM6" s="557">
        <v>804.2</v>
      </c>
      <c r="AN6" s="559">
        <v>1512.14</v>
      </c>
      <c r="AO6" s="547">
        <f t="shared" si="0"/>
        <v>0</v>
      </c>
      <c r="AP6" s="548">
        <f t="shared" si="1"/>
        <v>0</v>
      </c>
      <c r="AQ6" s="547">
        <f t="shared" si="2"/>
        <v>0</v>
      </c>
      <c r="AR6" s="549">
        <f t="shared" si="3"/>
        <v>0</v>
      </c>
      <c r="AS6" s="566" t="str">
        <f>IF($L$1="Português",AS9,IF($L$1="English",AS12,IF($L$1="Español",AS15,IF($L$1="Français",AS18,))))</f>
        <v>Espanhol</v>
      </c>
      <c r="AT6" s="634" t="str">
        <f>IF($L$1="Português",AT10,IF($L$1="English",AU10,IF($L$1="Español",AV10,IF($L$1="Français",AW10,))))</f>
        <v>Trifásico 63A (40 KW)</v>
      </c>
      <c r="AU6" s="532">
        <f>IF($H$18&gt;0,AT6,)</f>
        <v>0</v>
      </c>
      <c r="AV6" s="635">
        <v>203.91</v>
      </c>
      <c r="AW6" s="574" t="s">
        <v>78</v>
      </c>
    </row>
    <row r="7" spans="1:49" ht="11.4" customHeight="1" x14ac:dyDescent="0.25">
      <c r="A7" s="411"/>
      <c r="B7" s="412"/>
      <c r="C7" s="815" t="str">
        <f>'T2'!$A$8</f>
        <v>A desistência de serviços solicitados só poderá ser feita até ao 4º dia antes do período de montagem, a partir desta data 
não haverá lugar à devolução do valor pago.</v>
      </c>
      <c r="D7" s="815"/>
      <c r="E7" s="815"/>
      <c r="F7" s="815"/>
      <c r="G7" s="815"/>
      <c r="H7" s="815"/>
      <c r="I7" s="815"/>
      <c r="J7" s="815"/>
      <c r="K7" s="815"/>
      <c r="L7" s="815"/>
      <c r="M7" s="815"/>
      <c r="N7" s="815"/>
      <c r="O7" s="815"/>
      <c r="P7" s="815"/>
      <c r="Q7" s="815"/>
      <c r="R7" s="412"/>
      <c r="S7" s="413"/>
      <c r="U7" s="550" t="s">
        <v>918</v>
      </c>
      <c r="V7" s="514"/>
      <c r="W7" s="549">
        <v>27</v>
      </c>
      <c r="X7" s="537">
        <f>IF($H$18=9,Y24,IF($H$18=18,$Y$26,IF($H$18=27,$Y$30,IF($H$18=36,$Y$32,IF($H$18=54,$Y$32,IF($H$18=81,$Y$32,))))))</f>
        <v>0</v>
      </c>
      <c r="Y7" s="553" t="s">
        <v>1167</v>
      </c>
      <c r="Z7" s="539"/>
      <c r="AA7" s="567">
        <f>VLOOKUP($H$18,Z18:AA22,2,)</f>
        <v>0</v>
      </c>
      <c r="AB7" s="568">
        <f>VLOOKUP($H$18,Z18:AB22,3,)</f>
        <v>0</v>
      </c>
      <c r="AC7" s="541">
        <v>4</v>
      </c>
      <c r="AD7" s="564">
        <v>98.33</v>
      </c>
      <c r="AE7" s="557">
        <v>13.46</v>
      </c>
      <c r="AF7" s="557">
        <v>53.82</v>
      </c>
      <c r="AG7" s="557">
        <v>451.26</v>
      </c>
      <c r="AH7" s="557">
        <v>811.44</v>
      </c>
      <c r="AI7" s="558">
        <v>1656</v>
      </c>
      <c r="AJ7" s="565">
        <v>181.13</v>
      </c>
      <c r="AK7" s="565">
        <v>260.83</v>
      </c>
      <c r="AL7" s="565">
        <v>419.18</v>
      </c>
      <c r="AM7" s="565">
        <v>895.28</v>
      </c>
      <c r="AN7" s="559">
        <v>1688.09</v>
      </c>
      <c r="AO7" s="547">
        <f t="shared" si="0"/>
        <v>0</v>
      </c>
      <c r="AP7" s="548">
        <f t="shared" si="1"/>
        <v>0</v>
      </c>
      <c r="AQ7" s="547">
        <f t="shared" si="2"/>
        <v>0</v>
      </c>
      <c r="AR7" s="549">
        <f t="shared" si="3"/>
        <v>0</v>
      </c>
      <c r="AS7" s="569" t="str">
        <f>IF($L$1="Português",AS10,IF($L$1="English",AS13,IF($L$1="Español",AS16,IF($L$1="Français",AS19,))))</f>
        <v>Francês</v>
      </c>
      <c r="AT7" s="637" t="s">
        <v>1045</v>
      </c>
      <c r="AU7" s="638" t="s">
        <v>1046</v>
      </c>
      <c r="AV7" s="639" t="s">
        <v>1045</v>
      </c>
      <c r="AW7" s="640" t="s">
        <v>1047</v>
      </c>
    </row>
    <row r="8" spans="1:49" ht="11.4" customHeight="1" thickBot="1" x14ac:dyDescent="0.3">
      <c r="A8" s="417"/>
      <c r="B8" s="418"/>
      <c r="C8" s="816"/>
      <c r="D8" s="816"/>
      <c r="E8" s="816"/>
      <c r="F8" s="816"/>
      <c r="G8" s="816"/>
      <c r="H8" s="816"/>
      <c r="I8" s="816"/>
      <c r="J8" s="816"/>
      <c r="K8" s="816"/>
      <c r="L8" s="816"/>
      <c r="M8" s="816"/>
      <c r="N8" s="816"/>
      <c r="O8" s="816"/>
      <c r="P8" s="816"/>
      <c r="Q8" s="816"/>
      <c r="R8" s="418"/>
      <c r="S8" s="419"/>
      <c r="U8" s="550" t="s">
        <v>468</v>
      </c>
      <c r="V8" s="514"/>
      <c r="W8" s="552">
        <v>36</v>
      </c>
      <c r="X8" s="570">
        <f>IF($H$18=18,$Y$28,IF($H$18=27,$Y$32,))</f>
        <v>0</v>
      </c>
      <c r="Y8" s="571" t="str">
        <f>'T1'!$G$11</f>
        <v>CAIXA DE LUZ   (2/2)</v>
      </c>
      <c r="Z8" s="539"/>
      <c r="AA8" s="567">
        <f>VLOOKUP($H$18,Z23:AA24,2,)</f>
        <v>0</v>
      </c>
      <c r="AB8" s="568">
        <f>VLOOKUP($H$18,Z23:AB24,3,)</f>
        <v>0</v>
      </c>
      <c r="AC8" s="541">
        <v>5</v>
      </c>
      <c r="AD8" s="564">
        <v>112.82</v>
      </c>
      <c r="AE8" s="557">
        <v>15.53</v>
      </c>
      <c r="AF8" s="557">
        <v>62.1</v>
      </c>
      <c r="AG8" s="557">
        <v>521.64</v>
      </c>
      <c r="AH8" s="557">
        <v>938.75</v>
      </c>
      <c r="AI8" s="558">
        <v>1863</v>
      </c>
      <c r="AJ8" s="557">
        <v>192.51</v>
      </c>
      <c r="AK8" s="557">
        <v>278.42</v>
      </c>
      <c r="AL8" s="557">
        <v>450.23</v>
      </c>
      <c r="AM8" s="557">
        <v>965.66</v>
      </c>
      <c r="AN8" s="559">
        <v>1824.71</v>
      </c>
      <c r="AO8" s="547">
        <f t="shared" si="0"/>
        <v>0</v>
      </c>
      <c r="AP8" s="548">
        <f t="shared" si="1"/>
        <v>0</v>
      </c>
      <c r="AQ8" s="547">
        <f t="shared" si="2"/>
        <v>0</v>
      </c>
      <c r="AR8" s="549">
        <f t="shared" si="3"/>
        <v>0</v>
      </c>
      <c r="AS8" s="572" t="s">
        <v>295</v>
      </c>
      <c r="AT8" s="641" t="s">
        <v>100</v>
      </c>
      <c r="AU8" s="642" t="s">
        <v>105</v>
      </c>
      <c r="AV8" s="614" t="s">
        <v>100</v>
      </c>
      <c r="AW8" s="643" t="s">
        <v>106</v>
      </c>
    </row>
    <row r="9" spans="1:49" ht="11.4" customHeight="1" thickBot="1" x14ac:dyDescent="0.3">
      <c r="A9" s="340"/>
      <c r="B9" s="252"/>
      <c r="C9" s="252"/>
      <c r="D9" s="252"/>
      <c r="E9" s="252"/>
      <c r="F9" s="252"/>
      <c r="G9" s="252"/>
      <c r="H9" s="252"/>
      <c r="I9" s="242" t="s">
        <v>19</v>
      </c>
      <c r="J9" s="80" t="str">
        <f>$U$21</f>
        <v>Campos Obrigatórios</v>
      </c>
      <c r="K9" s="252"/>
      <c r="L9" s="252"/>
      <c r="M9" s="252"/>
      <c r="N9" s="252"/>
      <c r="O9" s="252"/>
      <c r="P9" s="252"/>
      <c r="Q9" s="252"/>
      <c r="R9" s="252"/>
      <c r="S9" s="341"/>
      <c r="U9" s="561" t="s">
        <v>469</v>
      </c>
      <c r="V9" s="535"/>
      <c r="W9" s="552">
        <v>45</v>
      </c>
      <c r="X9" s="496" t="s">
        <v>802</v>
      </c>
      <c r="Y9" s="571" t="str">
        <f>'T1'!$O$31</f>
        <v>REQUINTE sem Tela</v>
      </c>
      <c r="Z9" s="539"/>
      <c r="AA9" s="567">
        <f>VLOOKUP($H$18,Z25:AA26,2,)</f>
        <v>0</v>
      </c>
      <c r="AB9" s="568">
        <f>VLOOKUP($H$18,Z25:AB26,3,)</f>
        <v>0</v>
      </c>
      <c r="AC9" s="574">
        <v>9</v>
      </c>
      <c r="AD9" s="575">
        <v>160.43</v>
      </c>
      <c r="AE9" s="576">
        <v>23.81</v>
      </c>
      <c r="AF9" s="576">
        <v>95.22</v>
      </c>
      <c r="AG9" s="576">
        <v>799.02</v>
      </c>
      <c r="AH9" s="576">
        <v>1437.62</v>
      </c>
      <c r="AI9" s="577">
        <v>2691</v>
      </c>
      <c r="AJ9" s="578">
        <v>220.46</v>
      </c>
      <c r="AK9" s="578">
        <v>323.95999999999998</v>
      </c>
      <c r="AL9" s="578">
        <v>530.96</v>
      </c>
      <c r="AM9" s="578">
        <v>1150.92</v>
      </c>
      <c r="AN9" s="579">
        <v>2183.85</v>
      </c>
      <c r="AO9" s="547">
        <f t="shared" si="0"/>
        <v>0</v>
      </c>
      <c r="AP9" s="548">
        <f t="shared" si="1"/>
        <v>0</v>
      </c>
      <c r="AQ9" s="547">
        <f t="shared" si="2"/>
        <v>0</v>
      </c>
      <c r="AR9" s="549">
        <f t="shared" si="3"/>
        <v>0</v>
      </c>
      <c r="AS9" s="572" t="s">
        <v>296</v>
      </c>
      <c r="AT9" s="641" t="s">
        <v>101</v>
      </c>
      <c r="AU9" s="642" t="s">
        <v>103</v>
      </c>
      <c r="AV9" s="614" t="s">
        <v>101</v>
      </c>
      <c r="AW9" s="643" t="s">
        <v>107</v>
      </c>
    </row>
    <row r="10" spans="1:49" ht="11.4" customHeight="1" x14ac:dyDescent="0.25">
      <c r="A10" s="256"/>
      <c r="B10" s="268" t="s">
        <v>668</v>
      </c>
      <c r="C10" s="17" t="str">
        <f>'T1'!$M$1</f>
        <v>Nº Contribuinte:</v>
      </c>
      <c r="F10" s="820"/>
      <c r="G10" s="820"/>
      <c r="H10" s="820"/>
      <c r="I10" s="820"/>
      <c r="O10" s="93"/>
      <c r="P10" s="93"/>
      <c r="Q10" s="93"/>
      <c r="S10" s="257"/>
      <c r="V10" s="554"/>
      <c r="W10" s="549">
        <v>54</v>
      </c>
      <c r="X10" s="580"/>
      <c r="Y10" s="571" t="str">
        <f>'T1'!$O$36</f>
        <v>REQUINTE com Tela</v>
      </c>
      <c r="Z10" s="539"/>
      <c r="AA10" s="567">
        <f>VLOOKUP($H$18,Z27:AA28,2,)</f>
        <v>0</v>
      </c>
      <c r="AB10" s="568">
        <f>VLOOKUP($H$18,Z27:AB28,3,)</f>
        <v>0</v>
      </c>
      <c r="AC10" s="460"/>
      <c r="AD10" s="140">
        <v>2</v>
      </c>
      <c r="AE10" s="140">
        <v>3</v>
      </c>
      <c r="AF10" s="140">
        <v>4</v>
      </c>
      <c r="AG10" s="140">
        <v>5</v>
      </c>
      <c r="AH10" s="140">
        <v>6</v>
      </c>
      <c r="AI10" s="140">
        <v>7</v>
      </c>
      <c r="AJ10" s="140">
        <v>8</v>
      </c>
      <c r="AK10" s="140">
        <v>9</v>
      </c>
      <c r="AL10" s="460">
        <v>10</v>
      </c>
      <c r="AM10" s="140">
        <v>11</v>
      </c>
      <c r="AN10" s="460">
        <v>12</v>
      </c>
      <c r="AO10" s="547">
        <f t="shared" si="0"/>
        <v>0</v>
      </c>
      <c r="AP10" s="548">
        <f t="shared" si="1"/>
        <v>0</v>
      </c>
      <c r="AQ10" s="547">
        <f t="shared" si="2"/>
        <v>0</v>
      </c>
      <c r="AR10" s="549">
        <f t="shared" si="3"/>
        <v>0</v>
      </c>
      <c r="AS10" s="572" t="s">
        <v>297</v>
      </c>
      <c r="AT10" s="641" t="s">
        <v>102</v>
      </c>
      <c r="AU10" s="642" t="s">
        <v>104</v>
      </c>
      <c r="AV10" s="614" t="s">
        <v>102</v>
      </c>
      <c r="AW10" s="643" t="s">
        <v>108</v>
      </c>
    </row>
    <row r="11" spans="1:49" ht="11.4" customHeight="1" x14ac:dyDescent="0.25">
      <c r="A11" s="256"/>
      <c r="B11" s="268" t="s">
        <v>668</v>
      </c>
      <c r="C11" s="17" t="str">
        <f>'T1'!$I$16</f>
        <v>Nome da Empresa Expositora:</v>
      </c>
      <c r="E11" s="93"/>
      <c r="F11" s="809"/>
      <c r="G11" s="809"/>
      <c r="H11" s="809"/>
      <c r="I11" s="809"/>
      <c r="J11" s="809"/>
      <c r="K11" s="809"/>
      <c r="L11" s="809"/>
      <c r="M11" s="809"/>
      <c r="N11" s="809"/>
      <c r="O11" s="809"/>
      <c r="P11" s="809"/>
      <c r="Q11" s="809"/>
      <c r="S11" s="257"/>
      <c r="U11" s="532" t="str">
        <f>IF($L$1="Português",U12,IF($L$1="English",U13,IF($L$1="Español",U14,IF($L$1="Français",U15,))))</f>
        <v>Campo Obrigatório</v>
      </c>
      <c r="V11" s="581" t="str">
        <f>IF($L$1="Português",V13,IF($L$1="English",V15,IF($L$1="Español",V17,IF($L$1="Français",V19,))))</f>
        <v>Sim</v>
      </c>
      <c r="W11" s="549">
        <v>63</v>
      </c>
      <c r="X11" s="582">
        <f>IF($H$18=$V$12,0,IF($H$18&gt;0,$Y$3,))</f>
        <v>0</v>
      </c>
      <c r="Y11" s="583" t="str">
        <f>'T1'!$O$21</f>
        <v>REQUINTE sem Torre</v>
      </c>
      <c r="Z11" s="539"/>
      <c r="AA11" s="567">
        <f>VLOOKUP($H$18,Z29:AA30,2,)</f>
        <v>0</v>
      </c>
      <c r="AB11" s="568">
        <f>VLOOKUP($H$18,Z29:AB30,3,)</f>
        <v>0</v>
      </c>
      <c r="AC11" s="584"/>
      <c r="AD11" s="506" t="s">
        <v>590</v>
      </c>
      <c r="AE11" s="585" t="s">
        <v>591</v>
      </c>
      <c r="AF11" s="586" t="s">
        <v>592</v>
      </c>
      <c r="AG11" s="587" t="s">
        <v>467</v>
      </c>
      <c r="AH11" s="588" t="s">
        <v>89</v>
      </c>
      <c r="AI11" s="589" t="s">
        <v>85</v>
      </c>
      <c r="AJ11" s="590" t="s">
        <v>88</v>
      </c>
      <c r="AO11" s="547">
        <f t="shared" si="0"/>
        <v>0</v>
      </c>
      <c r="AP11" s="548">
        <f t="shared" si="1"/>
        <v>0</v>
      </c>
      <c r="AQ11" s="547">
        <f t="shared" si="2"/>
        <v>0</v>
      </c>
      <c r="AR11" s="549">
        <f t="shared" si="3"/>
        <v>0</v>
      </c>
      <c r="AS11" s="591" t="s">
        <v>7</v>
      </c>
      <c r="AT11" s="508" t="s">
        <v>929</v>
      </c>
      <c r="AU11" s="510">
        <f>VLOOKUP($K$82,AT17:AU21,2,)</f>
        <v>0</v>
      </c>
      <c r="AV11" s="510">
        <f>VLOOKUP($K$82,AT17:AW21,3,)</f>
        <v>0</v>
      </c>
      <c r="AW11" s="664">
        <f>VLOOKUP($K$82,AT17:AW21,4,)</f>
        <v>0</v>
      </c>
    </row>
    <row r="12" spans="1:49" ht="11.4" customHeight="1" x14ac:dyDescent="0.25">
      <c r="A12" s="256"/>
      <c r="B12" s="268" t="s">
        <v>668</v>
      </c>
      <c r="C12" s="31" t="str">
        <f>'T1'!$E$6</f>
        <v>Pais:</v>
      </c>
      <c r="E12" s="814"/>
      <c r="F12" s="814"/>
      <c r="G12" s="814"/>
      <c r="H12" s="814"/>
      <c r="J12" s="414"/>
      <c r="K12" s="414"/>
      <c r="L12" s="414"/>
      <c r="M12" s="414"/>
      <c r="N12" s="415"/>
      <c r="O12" s="416"/>
      <c r="P12" s="414"/>
      <c r="Q12" s="414"/>
      <c r="S12" s="257"/>
      <c r="U12" s="592" t="s">
        <v>24</v>
      </c>
      <c r="V12" s="593" t="str">
        <f>IF($L$1="Português",V14,IF($L$1="English",V16,IF($L$1="Español",V18,IF($L$1="Français",V20,))))</f>
        <v>Não</v>
      </c>
      <c r="W12" s="552">
        <v>72</v>
      </c>
      <c r="X12" s="582">
        <f>IF($H$18=$V$12,0,IF($H$18&gt;0,$Y$6,))</f>
        <v>0</v>
      </c>
      <c r="Y12" s="583" t="str">
        <f>'T1'!$O$26</f>
        <v>REQUINTE com Torre</v>
      </c>
      <c r="Z12" s="539"/>
      <c r="AA12" s="567">
        <f>VLOOKUP($H$18,Z31:AA35,2,)</f>
        <v>0</v>
      </c>
      <c r="AB12" s="568">
        <f>VLOOKUP($H$18,Z31:AB35,3,)</f>
        <v>0</v>
      </c>
      <c r="AC12" s="594"/>
      <c r="AD12" s="595">
        <f>VLOOKUP($W$1,$AC$13:$AD$19,2,)</f>
        <v>150</v>
      </c>
      <c r="AE12" s="596">
        <f>VLOOKUP($W$1,$AC$13:$AE$19,3,)</f>
        <v>255</v>
      </c>
      <c r="AF12" s="596">
        <f>VLOOKUP($W$1,$AC$13:$AF$19,4,)</f>
        <v>480</v>
      </c>
      <c r="AG12" s="596">
        <f>VLOOKUP($W$1,$AC$13:$AG$19,5,)</f>
        <v>4.71</v>
      </c>
      <c r="AH12" s="596">
        <f>VLOOKUP($W$1,$AC$13:$AH$19,6,)</f>
        <v>35.31</v>
      </c>
      <c r="AI12" s="596">
        <f>VLOOKUP($W$1,$AC$13:$AI$19,7,)</f>
        <v>3.97</v>
      </c>
      <c r="AJ12" s="596">
        <f>VLOOKUP($W$1,$AC$13:$AJ$19,8,)</f>
        <v>52.05</v>
      </c>
      <c r="AO12" s="547">
        <f t="shared" si="0"/>
        <v>0</v>
      </c>
      <c r="AP12" s="548">
        <f t="shared" si="1"/>
        <v>0</v>
      </c>
      <c r="AQ12" s="547">
        <f t="shared" si="2"/>
        <v>0</v>
      </c>
      <c r="AR12" s="548">
        <f t="shared" si="3"/>
        <v>0</v>
      </c>
      <c r="AS12" s="591" t="s">
        <v>298</v>
      </c>
      <c r="AT12" s="675"/>
      <c r="AU12" s="519"/>
      <c r="AV12" s="573"/>
      <c r="AW12" s="676"/>
    </row>
    <row r="13" spans="1:49" ht="12" x14ac:dyDescent="0.25">
      <c r="A13" s="256"/>
      <c r="B13" s="9"/>
      <c r="E13" s="18"/>
      <c r="F13" s="18"/>
      <c r="G13" s="18"/>
      <c r="H13" s="10"/>
      <c r="I13" s="18"/>
      <c r="J13" s="18"/>
      <c r="K13" s="18"/>
      <c r="L13" s="10"/>
      <c r="M13" s="10"/>
      <c r="N13" s="18"/>
      <c r="O13" s="18"/>
      <c r="P13" s="18"/>
      <c r="Q13" s="18"/>
      <c r="R13" s="18"/>
      <c r="S13" s="257"/>
      <c r="U13" s="592" t="s">
        <v>166</v>
      </c>
      <c r="V13" s="598" t="s">
        <v>1180</v>
      </c>
      <c r="W13" s="552">
        <v>81</v>
      </c>
      <c r="X13" s="582">
        <f>IF($H$18=18,$Y$26,IF($H$18=27,$Y$30,IF($H$18=36,$Y$32,IF($H$18=54,$Y$32,IF($H$18=72,$Y$42,IF($H$18=81,$Y$32,))))))</f>
        <v>0</v>
      </c>
      <c r="Y13" s="553" t="s">
        <v>882</v>
      </c>
      <c r="Z13" s="539"/>
      <c r="AA13" s="567">
        <f>VLOOKUP($H$18,Z36:AA40,2,)</f>
        <v>0</v>
      </c>
      <c r="AB13" s="568">
        <f>VLOOKUP($H$18,Z36:AB40,3,)</f>
        <v>0</v>
      </c>
      <c r="AC13" s="599">
        <v>0</v>
      </c>
      <c r="AD13" s="512"/>
      <c r="AE13" s="512"/>
      <c r="AF13" s="600"/>
      <c r="AG13" s="140"/>
      <c r="AH13" s="601"/>
      <c r="AI13" s="149"/>
      <c r="AJ13" s="602"/>
      <c r="AO13" s="547">
        <f t="shared" si="0"/>
        <v>0</v>
      </c>
      <c r="AP13" s="548">
        <f t="shared" si="1"/>
        <v>0</v>
      </c>
      <c r="AQ13" s="547">
        <f t="shared" si="2"/>
        <v>0</v>
      </c>
      <c r="AR13" s="548">
        <f t="shared" si="3"/>
        <v>0</v>
      </c>
      <c r="AS13" s="591" t="s">
        <v>299</v>
      </c>
      <c r="AT13" s="532">
        <f>IF($H$18&gt;0,AT18,)</f>
        <v>0</v>
      </c>
      <c r="AU13" s="519"/>
      <c r="AV13" s="519"/>
      <c r="AW13" s="514"/>
    </row>
    <row r="14" spans="1:49" ht="12.6" customHeight="1" thickBot="1" x14ac:dyDescent="0.3">
      <c r="A14" s="256"/>
      <c r="C14" s="793" t="str">
        <f>'T2'!$A$23</f>
        <v xml:space="preserve">Se for uma REGIÃO AUTÓNOMA, indique qual: (Aplica-se apenas às Empresas Portuguesas)   </v>
      </c>
      <c r="D14" s="793"/>
      <c r="E14" s="793"/>
      <c r="F14" s="793"/>
      <c r="G14" s="793"/>
      <c r="H14" s="793"/>
      <c r="I14" s="793"/>
      <c r="J14" s="793"/>
      <c r="K14" s="793"/>
      <c r="L14" s="793"/>
      <c r="M14" s="810"/>
      <c r="N14" s="797"/>
      <c r="O14" s="799"/>
      <c r="Q14" s="18"/>
      <c r="R14" s="18"/>
      <c r="S14" s="257"/>
      <c r="U14" s="592" t="s">
        <v>28</v>
      </c>
      <c r="V14" s="598" t="s">
        <v>1181</v>
      </c>
      <c r="W14" s="549">
        <v>90</v>
      </c>
      <c r="X14" s="582">
        <f>IF($H$18=18,$Y$28,IF($H$18=27,$Y$32,IF($H$18=36,$Y$42,IF($H$18=54,$Y$42,IF($H$18=72,Y48,IF($H$18=81,$Y$48,))))))</f>
        <v>0</v>
      </c>
      <c r="Y14" s="553" t="s">
        <v>1191</v>
      </c>
      <c r="Z14" s="539"/>
      <c r="AA14" s="567">
        <f>VLOOKUP($H$18,Z41:AA46,2,)</f>
        <v>0</v>
      </c>
      <c r="AB14" s="568">
        <f>VLOOKUP($H$18,Z41:AB46,3,)</f>
        <v>0</v>
      </c>
      <c r="AC14" s="541">
        <v>1</v>
      </c>
      <c r="AD14" s="565">
        <v>50</v>
      </c>
      <c r="AE14" s="565">
        <v>85</v>
      </c>
      <c r="AF14" s="603">
        <v>160</v>
      </c>
      <c r="AG14" s="604">
        <v>1.57</v>
      </c>
      <c r="AH14" s="605">
        <v>7.06</v>
      </c>
      <c r="AI14" s="606"/>
      <c r="AJ14" s="602">
        <v>10.41</v>
      </c>
      <c r="AO14" s="547">
        <f t="shared" si="0"/>
        <v>0</v>
      </c>
      <c r="AP14" s="548">
        <f t="shared" si="1"/>
        <v>0</v>
      </c>
      <c r="AQ14" s="547">
        <f t="shared" si="2"/>
        <v>0</v>
      </c>
      <c r="AR14" s="548">
        <f t="shared" si="3"/>
        <v>0</v>
      </c>
      <c r="AS14" s="572" t="s">
        <v>300</v>
      </c>
      <c r="AT14" s="532">
        <f t="shared" ref="AT14:AT16" si="4">IF($H$18&gt;0,AT19,)</f>
        <v>0</v>
      </c>
      <c r="AU14" s="519"/>
      <c r="AV14" s="519"/>
      <c r="AW14" s="514"/>
    </row>
    <row r="15" spans="1:49" ht="12.6" thickBot="1" x14ac:dyDescent="0.3">
      <c r="A15" s="260"/>
      <c r="B15" s="227"/>
      <c r="C15" s="420"/>
      <c r="D15" s="420"/>
      <c r="E15" s="420"/>
      <c r="F15" s="420"/>
      <c r="G15" s="420"/>
      <c r="H15" s="420"/>
      <c r="I15" s="420"/>
      <c r="J15" s="420"/>
      <c r="K15" s="420"/>
      <c r="L15" s="420"/>
      <c r="M15" s="420"/>
      <c r="N15" s="420"/>
      <c r="O15" s="420"/>
      <c r="P15" s="420"/>
      <c r="Q15" s="420"/>
      <c r="R15" s="421"/>
      <c r="S15" s="261"/>
      <c r="U15" s="592" t="s">
        <v>150</v>
      </c>
      <c r="V15" s="608" t="s">
        <v>1182</v>
      </c>
      <c r="W15" s="549">
        <v>99</v>
      </c>
      <c r="X15" s="609">
        <f>IF($H$18=18,$Y$42,IF($H$18=27,$Y$42,IF($H$18=36,$Y$48,IF($H$18=54,Y48,))))</f>
        <v>0</v>
      </c>
      <c r="Y15" s="553" t="s">
        <v>767</v>
      </c>
      <c r="Z15" s="539"/>
      <c r="AA15" s="567">
        <f>VLOOKUP($H$18,Z47:AA51,2,)</f>
        <v>0</v>
      </c>
      <c r="AB15" s="568">
        <f>VLOOKUP($H$18,Z47:AB51,3,)</f>
        <v>0</v>
      </c>
      <c r="AC15" s="541">
        <v>2</v>
      </c>
      <c r="AD15" s="565">
        <v>85</v>
      </c>
      <c r="AE15" s="565">
        <v>144.5</v>
      </c>
      <c r="AF15" s="603">
        <v>272</v>
      </c>
      <c r="AG15" s="604">
        <v>2.35</v>
      </c>
      <c r="AH15" s="605">
        <v>14.12</v>
      </c>
      <c r="AI15" s="610">
        <v>2.4700000000000002</v>
      </c>
      <c r="AJ15" s="602">
        <v>20.82</v>
      </c>
      <c r="AO15" s="547">
        <f t="shared" si="0"/>
        <v>0</v>
      </c>
      <c r="AP15" s="548">
        <f t="shared" si="1"/>
        <v>0</v>
      </c>
      <c r="AQ15" s="547">
        <f t="shared" si="2"/>
        <v>0</v>
      </c>
      <c r="AR15" s="548">
        <f t="shared" si="3"/>
        <v>0</v>
      </c>
      <c r="AS15" s="572" t="s">
        <v>8</v>
      </c>
      <c r="AT15" s="532">
        <f t="shared" si="4"/>
        <v>0</v>
      </c>
      <c r="AU15" s="519"/>
      <c r="AV15" s="519"/>
      <c r="AW15" s="514"/>
    </row>
    <row r="16" spans="1:49" ht="12" x14ac:dyDescent="0.25">
      <c r="A16" s="265"/>
      <c r="B16" s="251"/>
      <c r="F16" s="795" t="e">
        <f>IF(#REF!=#REF!,0,IF(#REF!&gt;0,0,IF(#REF!=U31,0,IF(#REF!&gt;0,$U$11,))))</f>
        <v>#REF!</v>
      </c>
      <c r="G16" s="795"/>
      <c r="H16" s="795"/>
      <c r="I16" s="795"/>
      <c r="S16" s="257"/>
      <c r="U16" s="532" t="str">
        <f>IF($L$1="Português",U17,IF($L$1="English",U18,IF($L$1="Español",U19,IF($L$1="Français",U20,))))</f>
        <v>(Máximo 20 caracteres)</v>
      </c>
      <c r="V16" s="608" t="s">
        <v>1183</v>
      </c>
      <c r="W16" s="552">
        <v>108</v>
      </c>
      <c r="X16" s="496" t="s">
        <v>1113</v>
      </c>
      <c r="Y16" s="553" t="s">
        <v>796</v>
      </c>
      <c r="Z16" s="539"/>
      <c r="AA16" s="567">
        <f>VLOOKUP($H$18,Z52:AA56,2,)</f>
        <v>0</v>
      </c>
      <c r="AB16" s="568">
        <f>VLOOKUP($H$18,Z52:AB56,3,)</f>
        <v>0</v>
      </c>
      <c r="AC16" s="541">
        <v>3</v>
      </c>
      <c r="AD16" s="565">
        <v>110</v>
      </c>
      <c r="AE16" s="565">
        <v>187</v>
      </c>
      <c r="AF16" s="603">
        <v>352</v>
      </c>
      <c r="AG16" s="604">
        <v>3.14</v>
      </c>
      <c r="AH16" s="605">
        <v>21.19</v>
      </c>
      <c r="AI16" s="610">
        <v>3</v>
      </c>
      <c r="AJ16" s="613">
        <v>31.23</v>
      </c>
      <c r="AO16" s="547">
        <f t="shared" si="0"/>
        <v>0</v>
      </c>
      <c r="AP16" s="548">
        <f t="shared" si="1"/>
        <v>0</v>
      </c>
      <c r="AQ16" s="547">
        <f t="shared" si="2"/>
        <v>0</v>
      </c>
      <c r="AR16" s="548">
        <f t="shared" si="3"/>
        <v>0</v>
      </c>
      <c r="AS16" s="572" t="s">
        <v>301</v>
      </c>
      <c r="AT16" s="532">
        <f t="shared" si="4"/>
        <v>0</v>
      </c>
      <c r="AU16" s="597"/>
      <c r="AV16" s="597"/>
      <c r="AW16" s="535"/>
    </row>
    <row r="17" spans="1:49" ht="12.6" customHeight="1" thickBot="1" x14ac:dyDescent="0.3">
      <c r="A17" s="256"/>
      <c r="D17" s="80"/>
      <c r="E17" s="80"/>
      <c r="F17" s="80"/>
      <c r="G17" s="80"/>
      <c r="K17" s="66"/>
      <c r="L17" s="251"/>
      <c r="M17" s="177"/>
      <c r="N17" s="80"/>
      <c r="P17" s="177" t="s">
        <v>2</v>
      </c>
      <c r="Q17" s="82" t="str">
        <f>'T1'!$K$11</f>
        <v>Valor</v>
      </c>
      <c r="R17" s="178"/>
      <c r="S17" s="257"/>
      <c r="U17" s="614" t="s">
        <v>569</v>
      </c>
      <c r="V17" s="598" t="s">
        <v>1184</v>
      </c>
      <c r="W17" s="552">
        <v>117</v>
      </c>
      <c r="X17" s="516"/>
      <c r="Y17" s="615" t="s">
        <v>1118</v>
      </c>
      <c r="Z17" s="616"/>
      <c r="AA17" s="617">
        <f>VLOOKUP($H$18,Z57:AA61,2,)</f>
        <v>0</v>
      </c>
      <c r="AB17" s="618">
        <f>VLOOKUP($H$18,Z57:AB61,3,)</f>
        <v>0</v>
      </c>
      <c r="AC17" s="541">
        <v>4</v>
      </c>
      <c r="AD17" s="565">
        <v>132.5</v>
      </c>
      <c r="AE17" s="565">
        <v>225.25</v>
      </c>
      <c r="AF17" s="603">
        <v>424</v>
      </c>
      <c r="AG17" s="604">
        <v>3.93</v>
      </c>
      <c r="AH17" s="605">
        <v>28.25</v>
      </c>
      <c r="AI17" s="610">
        <v>3.55</v>
      </c>
      <c r="AJ17" s="613">
        <v>41.64</v>
      </c>
      <c r="AO17" s="547">
        <f t="shared" si="0"/>
        <v>0</v>
      </c>
      <c r="AP17" s="548">
        <f t="shared" si="1"/>
        <v>0</v>
      </c>
      <c r="AQ17" s="547">
        <f t="shared" si="2"/>
        <v>0</v>
      </c>
      <c r="AR17" s="548">
        <f t="shared" si="3"/>
        <v>0</v>
      </c>
      <c r="AS17" s="619" t="s">
        <v>302</v>
      </c>
      <c r="AT17" s="689">
        <v>0</v>
      </c>
      <c r="AU17" s="519"/>
      <c r="AV17" s="519"/>
      <c r="AW17" s="514"/>
    </row>
    <row r="18" spans="1:49" ht="12.6" customHeight="1" thickTop="1" thickBot="1" x14ac:dyDescent="0.3">
      <c r="A18" s="256"/>
      <c r="B18" s="251" t="s">
        <v>34</v>
      </c>
      <c r="C18" s="174" t="str">
        <f>'T1'!$O$1</f>
        <v>ESTRUTURA DE STAND FIL?</v>
      </c>
      <c r="D18" s="174"/>
      <c r="F18" s="249" t="str">
        <f>'T1'!$C$25</f>
        <v>Ler+</v>
      </c>
      <c r="H18" s="191"/>
      <c r="I18" s="248" t="s">
        <v>9</v>
      </c>
      <c r="J18" s="160">
        <f>$AB$1</f>
        <v>0</v>
      </c>
      <c r="K18" s="801"/>
      <c r="L18" s="802"/>
      <c r="M18" s="803"/>
      <c r="N18" s="251"/>
      <c r="P18" s="83">
        <f>$AA$1</f>
        <v>0</v>
      </c>
      <c r="Q18" s="805">
        <f>IF(K18=0,0,IF(K18=Y3,Y1,H18*P18))</f>
        <v>0</v>
      </c>
      <c r="R18" s="805"/>
      <c r="S18" s="257"/>
      <c r="U18" s="614" t="s">
        <v>570</v>
      </c>
      <c r="V18" s="598" t="s">
        <v>1183</v>
      </c>
      <c r="W18" s="549">
        <v>126</v>
      </c>
      <c r="X18" s="621">
        <f>IF($H$18=$V$12,0,IF($H$18&gt;0,$Y$3,))</f>
        <v>0</v>
      </c>
      <c r="Y18" s="622">
        <v>0</v>
      </c>
      <c r="Z18" s="623">
        <v>0</v>
      </c>
      <c r="AA18" s="554"/>
      <c r="AB18" s="624"/>
      <c r="AC18" s="541">
        <v>5</v>
      </c>
      <c r="AD18" s="565">
        <v>150</v>
      </c>
      <c r="AE18" s="565">
        <v>255</v>
      </c>
      <c r="AF18" s="603">
        <v>480</v>
      </c>
      <c r="AG18" s="604">
        <v>4.71</v>
      </c>
      <c r="AH18" s="605">
        <v>35.31</v>
      </c>
      <c r="AI18" s="610">
        <v>3.97</v>
      </c>
      <c r="AJ18" s="613">
        <v>52.05</v>
      </c>
      <c r="AO18" s="547">
        <f t="shared" si="0"/>
        <v>0</v>
      </c>
      <c r="AP18" s="548">
        <f t="shared" si="1"/>
        <v>0</v>
      </c>
      <c r="AQ18" s="547">
        <f t="shared" si="2"/>
        <v>0</v>
      </c>
      <c r="AR18" s="548">
        <f t="shared" si="3"/>
        <v>0</v>
      </c>
      <c r="AS18" s="619" t="s">
        <v>303</v>
      </c>
      <c r="AT18" s="665" t="s">
        <v>1042</v>
      </c>
      <c r="AU18" s="620">
        <v>68.11</v>
      </c>
      <c r="AV18" s="691">
        <v>400890</v>
      </c>
      <c r="AW18" s="692">
        <v>6</v>
      </c>
    </row>
    <row r="19" spans="1:49" ht="12.6" customHeight="1" x14ac:dyDescent="0.25">
      <c r="A19" s="256"/>
      <c r="C19" s="175"/>
      <c r="D19" s="175"/>
      <c r="E19" s="175"/>
      <c r="F19" s="175"/>
      <c r="G19" s="795" t="str">
        <f>IF(H18=0,U11,)</f>
        <v>Campo Obrigatório</v>
      </c>
      <c r="H19" s="795"/>
      <c r="I19" s="795"/>
      <c r="K19" s="804">
        <f>IF($K$18&gt;0,0,IF($H$18=$V$12,$U$26,IF($H$18=0,0,$U$11)))</f>
        <v>0</v>
      </c>
      <c r="L19" s="804"/>
      <c r="M19" s="804"/>
      <c r="P19" s="93"/>
      <c r="R19" s="66"/>
      <c r="S19" s="257"/>
      <c r="U19" s="614" t="s">
        <v>569</v>
      </c>
      <c r="V19" s="625" t="s">
        <v>1185</v>
      </c>
      <c r="W19" s="549">
        <v>135</v>
      </c>
      <c r="X19" s="621">
        <f>IF($H$18=$V$12,0,IF($H$18&gt;0,$Y$5,))</f>
        <v>0</v>
      </c>
      <c r="Y19" s="626" t="s">
        <v>1167</v>
      </c>
      <c r="Z19" s="623">
        <v>9</v>
      </c>
      <c r="AA19" s="554">
        <v>50.4</v>
      </c>
      <c r="AB19" s="624">
        <v>410551</v>
      </c>
      <c r="AC19" s="574">
        <v>9</v>
      </c>
      <c r="AD19" s="627">
        <v>212.5</v>
      </c>
      <c r="AE19" s="627">
        <v>361.25</v>
      </c>
      <c r="AF19" s="628">
        <v>680</v>
      </c>
      <c r="AG19" s="629">
        <v>7.84</v>
      </c>
      <c r="AH19" s="630">
        <v>63.56</v>
      </c>
      <c r="AI19" s="631">
        <v>5.9</v>
      </c>
      <c r="AJ19" s="632">
        <v>93.69</v>
      </c>
      <c r="AO19" s="547">
        <f t="shared" si="0"/>
        <v>0</v>
      </c>
      <c r="AP19" s="548">
        <f t="shared" si="1"/>
        <v>0</v>
      </c>
      <c r="AQ19" s="547">
        <f t="shared" si="2"/>
        <v>0</v>
      </c>
      <c r="AR19" s="548">
        <f t="shared" si="3"/>
        <v>0</v>
      </c>
      <c r="AS19" s="633" t="s">
        <v>115</v>
      </c>
      <c r="AT19" s="665" t="s">
        <v>1043</v>
      </c>
      <c r="AU19" s="620">
        <v>98.31</v>
      </c>
      <c r="AV19" s="691">
        <v>400891</v>
      </c>
      <c r="AW19" s="692">
        <v>10</v>
      </c>
    </row>
    <row r="20" spans="1:49" ht="12" x14ac:dyDescent="0.25">
      <c r="A20" s="256"/>
      <c r="C20" s="807">
        <f>IF(Q18=U31,T36,IF($H$18=$V$12,$T$38,IF($K$18&gt;0,$T$37,)))</f>
        <v>0</v>
      </c>
      <c r="D20" s="807"/>
      <c r="E20" s="807"/>
      <c r="F20" s="807"/>
      <c r="G20" s="807"/>
      <c r="H20" s="807"/>
      <c r="I20" s="807"/>
      <c r="J20" s="807"/>
      <c r="K20" s="807"/>
      <c r="L20" s="807"/>
      <c r="M20" s="807"/>
      <c r="N20" s="807"/>
      <c r="O20" s="806">
        <f>IF(Q18=U31,0,IF($H$18=$V$12,T40,IF($K$18&gt;0,T39,)))</f>
        <v>0</v>
      </c>
      <c r="P20" s="806"/>
      <c r="Q20" s="806"/>
      <c r="S20" s="257"/>
      <c r="U20" s="592" t="s">
        <v>571</v>
      </c>
      <c r="V20" s="636" t="s">
        <v>1186</v>
      </c>
      <c r="W20" s="552">
        <v>144</v>
      </c>
      <c r="X20" s="621">
        <f>IF($H$18=18,$Y$58,IF($H$18=27,$Y$58,IF($H$18=36,$Y$58,IF($H$18=45,$Y$58,IF($H$18=54,$Y$32,IF($H$18=81,$Y$32,))))))</f>
        <v>0</v>
      </c>
      <c r="Y20" s="626" t="s">
        <v>1167</v>
      </c>
      <c r="Z20" s="623">
        <v>18</v>
      </c>
      <c r="AA20" s="554">
        <v>50.4</v>
      </c>
      <c r="AB20" s="624">
        <v>410551</v>
      </c>
      <c r="AC20" s="146"/>
      <c r="AD20" s="565"/>
      <c r="AE20" s="565"/>
      <c r="AF20" s="565"/>
      <c r="AG20" s="565"/>
      <c r="AH20" s="604"/>
      <c r="AI20" s="604"/>
      <c r="AJ20" s="610"/>
      <c r="AK20" s="620"/>
      <c r="AO20" s="547">
        <f t="shared" si="0"/>
        <v>0</v>
      </c>
      <c r="AP20" s="548">
        <f t="shared" si="1"/>
        <v>0</v>
      </c>
      <c r="AQ20" s="547">
        <f t="shared" si="2"/>
        <v>0</v>
      </c>
      <c r="AR20" s="548">
        <f t="shared" si="3"/>
        <v>0</v>
      </c>
      <c r="AS20" s="572"/>
      <c r="AT20" s="665" t="s">
        <v>1044</v>
      </c>
      <c r="AU20" s="620">
        <v>140.47</v>
      </c>
      <c r="AV20" s="691">
        <v>400892</v>
      </c>
      <c r="AW20" s="692">
        <v>10</v>
      </c>
    </row>
    <row r="21" spans="1:49" ht="12" x14ac:dyDescent="0.25">
      <c r="A21" s="256"/>
      <c r="C21" s="795" t="str">
        <f>'T2'!$A$33</f>
        <v>Às Empresas de Montagem de Stands, a FIL cobra uma taxa de 2,00€ por cada m2</v>
      </c>
      <c r="D21" s="795"/>
      <c r="E21" s="795"/>
      <c r="F21" s="795"/>
      <c r="G21" s="795"/>
      <c r="H21" s="795"/>
      <c r="I21" s="795"/>
      <c r="J21" s="795"/>
      <c r="K21" s="795"/>
      <c r="L21" s="795"/>
      <c r="M21" s="795"/>
      <c r="N21" s="795"/>
      <c r="O21" s="795"/>
      <c r="P21" s="795"/>
      <c r="Q21" s="795"/>
      <c r="S21" s="257"/>
      <c r="U21" s="532" t="str">
        <f>IF($L$1="Português",U22,IF($L$1="English",U23,IF($L$1="Español",U24,IF($L$1="Français",U25,))))</f>
        <v>Campos Obrigatórios</v>
      </c>
      <c r="W21" s="552">
        <v>153</v>
      </c>
      <c r="X21" s="621">
        <f>IF($H$18=18,$Y$26,IF($H$18=27,$Y$30,IF($H$18=36,$Y$38,)))</f>
        <v>0</v>
      </c>
      <c r="Y21" s="626" t="s">
        <v>1167</v>
      </c>
      <c r="Z21" s="623">
        <v>27</v>
      </c>
      <c r="AA21" s="554">
        <v>50.4</v>
      </c>
      <c r="AB21" s="624">
        <v>410551</v>
      </c>
      <c r="AC21" s="146"/>
      <c r="AD21" s="565"/>
      <c r="AE21" s="565"/>
      <c r="AF21" s="565"/>
      <c r="AG21" s="565"/>
      <c r="AH21" s="604"/>
      <c r="AI21" s="604"/>
      <c r="AJ21" s="610"/>
      <c r="AK21" s="620"/>
      <c r="AO21" s="547">
        <f t="shared" si="0"/>
        <v>0</v>
      </c>
      <c r="AP21" s="548">
        <f t="shared" si="1"/>
        <v>0</v>
      </c>
      <c r="AQ21" s="547">
        <f t="shared" si="2"/>
        <v>0</v>
      </c>
      <c r="AR21" s="548">
        <f t="shared" si="3"/>
        <v>0</v>
      </c>
      <c r="AS21" s="507"/>
      <c r="AT21" s="695" t="str">
        <f>'T1'!$Q$31</f>
        <v>Aérea Monofásica</v>
      </c>
      <c r="AU21" s="696">
        <v>298.87</v>
      </c>
      <c r="AV21" s="697">
        <v>406540</v>
      </c>
      <c r="AW21" s="698">
        <v>10</v>
      </c>
    </row>
    <row r="22" spans="1:49" ht="12.6" thickBot="1" x14ac:dyDescent="0.3">
      <c r="A22" s="256"/>
      <c r="S22" s="257"/>
      <c r="U22" s="592" t="s">
        <v>17</v>
      </c>
      <c r="W22" s="549">
        <v>162</v>
      </c>
      <c r="X22" s="644">
        <f>IF($H$18=18,$Y$28,IF($H$18=27,$Y$32,))</f>
        <v>0</v>
      </c>
      <c r="Y22" s="645" t="s">
        <v>1167</v>
      </c>
      <c r="Z22" s="646">
        <v>36</v>
      </c>
      <c r="AA22" s="647">
        <v>50.4</v>
      </c>
      <c r="AB22" s="648">
        <v>410551</v>
      </c>
      <c r="AC22" s="649"/>
      <c r="AD22" s="649"/>
      <c r="AE22" s="650"/>
      <c r="AF22" s="649"/>
      <c r="AG22" s="650"/>
      <c r="AH22" s="250"/>
      <c r="AI22" s="250"/>
      <c r="AJ22" s="146"/>
      <c r="AO22" s="651">
        <f t="shared" si="0"/>
        <v>0</v>
      </c>
      <c r="AP22" s="548">
        <f t="shared" si="1"/>
        <v>0</v>
      </c>
      <c r="AQ22" s="651">
        <f t="shared" si="2"/>
        <v>0</v>
      </c>
      <c r="AR22" s="548">
        <f t="shared" si="3"/>
        <v>0</v>
      </c>
      <c r="AS22" s="530">
        <f>IF($H$18&gt;0,AS25,)</f>
        <v>0</v>
      </c>
    </row>
    <row r="23" spans="1:49" ht="12.6" customHeight="1" thickBot="1" x14ac:dyDescent="0.3">
      <c r="A23" s="256"/>
      <c r="B23" s="251" t="s">
        <v>34</v>
      </c>
      <c r="C23" s="80" t="str">
        <f>'T1'!$O$16</f>
        <v>PRETENDE ALTERAR A COR DA ALCATIFA?</v>
      </c>
      <c r="I23" s="797"/>
      <c r="J23" s="798"/>
      <c r="K23" s="799"/>
      <c r="L23" s="163">
        <v>407781</v>
      </c>
      <c r="M23" s="18">
        <f>IF($H$18=$V$12,0,(IF($I$23=0,0,(IF($I$23=$V$12,0,(IF($Q$18=$U$31,0,H18)))))))</f>
        <v>0</v>
      </c>
      <c r="N23" s="31" t="s">
        <v>9</v>
      </c>
      <c r="P23" s="26">
        <v>1</v>
      </c>
      <c r="Q23" s="30">
        <f>SUM(P23*M23)</f>
        <v>0</v>
      </c>
      <c r="S23" s="257"/>
      <c r="U23" s="592" t="s">
        <v>18</v>
      </c>
      <c r="W23" s="549">
        <v>171</v>
      </c>
      <c r="X23" s="652" t="s">
        <v>1112</v>
      </c>
      <c r="Y23" s="626"/>
      <c r="Z23" s="653">
        <v>0</v>
      </c>
      <c r="AA23" s="554"/>
      <c r="AB23" s="624"/>
      <c r="AF23" s="654" t="s">
        <v>635</v>
      </c>
      <c r="AI23" s="654" t="s">
        <v>337</v>
      </c>
      <c r="AJ23" s="654" t="s">
        <v>337</v>
      </c>
      <c r="AK23" s="519"/>
      <c r="AP23" s="548">
        <f t="shared" si="1"/>
        <v>0</v>
      </c>
      <c r="AQ23" s="519"/>
      <c r="AR23" s="548">
        <f t="shared" si="3"/>
        <v>0</v>
      </c>
      <c r="AS23" s="530">
        <f>IF($H$18&gt;0,AS26,)</f>
        <v>0</v>
      </c>
    </row>
    <row r="24" spans="1:49" ht="12.6" customHeight="1" thickBot="1" x14ac:dyDescent="0.3">
      <c r="A24" s="256"/>
      <c r="C24" s="93"/>
      <c r="D24" s="93"/>
      <c r="E24" s="93"/>
      <c r="I24" s="795">
        <f>IF($Q$18=$U$31,0,IF($I$23&gt;0,0,IF($K$18=$Y$3,U26,IF($K$18&gt;0,$U$11,IF($H$18=$V$12,$U$26,)))))</f>
        <v>0</v>
      </c>
      <c r="J24" s="795"/>
      <c r="K24" s="795"/>
      <c r="S24" s="257"/>
      <c r="U24" s="592" t="s">
        <v>160</v>
      </c>
      <c r="W24" s="552">
        <v>180</v>
      </c>
      <c r="X24" s="655"/>
      <c r="Y24" s="656" t="str">
        <f>'T1'!$G$11</f>
        <v>CAIXA DE LUZ   (2/2)</v>
      </c>
      <c r="Z24" s="657">
        <v>9</v>
      </c>
      <c r="AA24" s="647">
        <v>70.349999999999994</v>
      </c>
      <c r="AB24" s="648">
        <v>412560</v>
      </c>
      <c r="AD24" s="504" t="s">
        <v>924</v>
      </c>
      <c r="AE24" s="658" t="s">
        <v>465</v>
      </c>
      <c r="AF24" s="659" t="s">
        <v>90</v>
      </c>
      <c r="AG24" s="660" t="s">
        <v>333</v>
      </c>
      <c r="AH24" s="515" t="s">
        <v>390</v>
      </c>
      <c r="AI24" s="661" t="s">
        <v>464</v>
      </c>
      <c r="AJ24" s="661" t="s">
        <v>463</v>
      </c>
      <c r="AK24" s="515" t="s">
        <v>671</v>
      </c>
      <c r="AL24" s="515" t="s">
        <v>708</v>
      </c>
      <c r="AM24" s="503" t="s">
        <v>958</v>
      </c>
      <c r="AN24" s="662" t="s">
        <v>144</v>
      </c>
      <c r="AO24" s="501"/>
      <c r="AP24" s="663">
        <f t="shared" si="1"/>
        <v>0</v>
      </c>
      <c r="AQ24" s="519"/>
      <c r="AR24" s="548">
        <f t="shared" si="3"/>
        <v>0</v>
      </c>
      <c r="AS24" s="530">
        <f>IF($H$18&gt;0,AS27,)</f>
        <v>0</v>
      </c>
    </row>
    <row r="25" spans="1:49" ht="12.6" customHeight="1" x14ac:dyDescent="0.25">
      <c r="A25" s="256"/>
      <c r="C25" s="93"/>
      <c r="D25" s="93"/>
      <c r="E25" s="93"/>
      <c r="I25" s="247"/>
      <c r="J25" s="247"/>
      <c r="K25" s="247"/>
      <c r="S25" s="257"/>
      <c r="U25" s="592" t="s">
        <v>149</v>
      </c>
      <c r="W25" s="552">
        <v>189</v>
      </c>
      <c r="X25" s="621">
        <f>IF($H$18=$V$12,0,IF($H$18&gt;0,$Y$3,))</f>
        <v>0</v>
      </c>
      <c r="Y25" s="626"/>
      <c r="Z25" s="665">
        <v>0</v>
      </c>
      <c r="AA25" s="554"/>
      <c r="AB25" s="624"/>
      <c r="AD25" s="666"/>
      <c r="AE25" s="667"/>
      <c r="AF25" s="668"/>
      <c r="AG25" s="669"/>
      <c r="AH25" s="529"/>
      <c r="AI25" s="670"/>
      <c r="AJ25" s="507"/>
      <c r="AK25" s="670"/>
      <c r="AL25" s="671"/>
      <c r="AM25" s="672"/>
      <c r="AN25" s="673"/>
      <c r="AO25" s="674"/>
      <c r="AP25" s="663">
        <f t="shared" si="1"/>
        <v>0</v>
      </c>
      <c r="AQ25" s="519"/>
      <c r="AR25" s="548">
        <f t="shared" si="3"/>
        <v>0</v>
      </c>
      <c r="AS25" s="563" t="str">
        <f>IF($L$1="Português",AS28,(IF($L$1="English",AS31,(IF($L$1="Español",AS34,(IF($L$1="Français",AS37,)))))))</f>
        <v>Inglês / Espanhol</v>
      </c>
    </row>
    <row r="26" spans="1:49" ht="12.6" customHeight="1" thickBot="1" x14ac:dyDescent="0.3">
      <c r="A26" s="256"/>
      <c r="B26" s="251" t="s">
        <v>34</v>
      </c>
      <c r="C26" s="80" t="str">
        <f>'T1'!$U$1</f>
        <v>NOME A FIGURAR NO STAND</v>
      </c>
      <c r="H26" s="800"/>
      <c r="I26" s="800"/>
      <c r="J26" s="800"/>
      <c r="K26" s="800"/>
      <c r="M26" s="343">
        <f>LEN(SUBSTITUTE($H$26," ",""))</f>
        <v>0</v>
      </c>
      <c r="N26" s="793" t="str">
        <f>$U$16</f>
        <v>(Máximo 20 caracteres)</v>
      </c>
      <c r="O26" s="793"/>
      <c r="P26" s="793"/>
      <c r="Q26" s="793"/>
      <c r="S26" s="257"/>
      <c r="U26" s="532" t="str">
        <f>IF($L$1="Português",U27,IF($L$1="English",U28,IF($L$1="Español",U29,IF($L$1="Français",U30,))))</f>
        <v>(Não Aplicável)</v>
      </c>
      <c r="V26" s="519"/>
      <c r="W26" s="549">
        <v>198</v>
      </c>
      <c r="X26" s="621">
        <f>IF($H$18=$V$12,0,IF($H$18&gt;0,$Y$4,))</f>
        <v>0</v>
      </c>
      <c r="Y26" s="656" t="str">
        <f>'T1'!$O$31</f>
        <v>REQUINTE sem Tela</v>
      </c>
      <c r="Z26" s="677">
        <v>18</v>
      </c>
      <c r="AA26" s="678">
        <v>82.69</v>
      </c>
      <c r="AB26" s="648">
        <v>412181</v>
      </c>
      <c r="AC26" s="679">
        <v>1</v>
      </c>
      <c r="AD26" s="680">
        <f t="shared" ref="AD26:AD57" si="5">IF($K$86&gt;0,AC26,)</f>
        <v>0</v>
      </c>
      <c r="AE26" s="681">
        <f t="shared" ref="AE26:AE57" si="6">IF($H$18&gt;0,W5,)</f>
        <v>0</v>
      </c>
      <c r="AF26" s="682">
        <f t="shared" ref="AF26:AF57" si="7">IF($H$18&gt;0,AC26,)</f>
        <v>0</v>
      </c>
      <c r="AG26" s="663">
        <f t="shared" ref="AG26:AG57" si="8">IF($I$138&gt;0,AC33,)</f>
        <v>0</v>
      </c>
      <c r="AH26" s="683">
        <f t="shared" ref="AH26:AH57" si="9">IF($I$144&gt;0,AC26,)</f>
        <v>0</v>
      </c>
      <c r="AI26" s="549">
        <f>IF($G$71&gt;0,#REF!,)</f>
        <v>0</v>
      </c>
      <c r="AJ26" s="548">
        <f t="shared" ref="AJ26:AJ57" si="10">IF($G$73&gt;0,W5,)</f>
        <v>0</v>
      </c>
      <c r="AK26" s="684">
        <f t="shared" ref="AK26:AK57" si="11">IF($K$18&gt;0,AC26,)</f>
        <v>0</v>
      </c>
      <c r="AL26" s="549">
        <f t="shared" ref="AL26:AL57" si="12">IF($I$111&gt;0,AC26,)</f>
        <v>0</v>
      </c>
      <c r="AM26" s="548">
        <f t="shared" ref="AM26:AM57" si="13">IF($I$123&gt;0,AC26,)</f>
        <v>0</v>
      </c>
      <c r="AN26" s="685">
        <v>10</v>
      </c>
      <c r="AO26" s="686">
        <f t="shared" ref="AO26:AO43" si="14">IF($H$18&gt;0,AN26,)</f>
        <v>0</v>
      </c>
      <c r="AP26" s="663">
        <f t="shared" si="1"/>
        <v>0</v>
      </c>
      <c r="AQ26" s="519"/>
      <c r="AR26" s="548">
        <f t="shared" si="3"/>
        <v>0</v>
      </c>
      <c r="AS26" s="566" t="str">
        <f>IF($L$1="Português",AS29,(IF($L$1="English",AS32,(IF($L$1="Español",AS35,(IF($L$1="Français",AS38,)))))))</f>
        <v>Inglês / Francês</v>
      </c>
    </row>
    <row r="27" spans="1:49" ht="12.6" customHeight="1" thickTop="1" x14ac:dyDescent="0.25">
      <c r="A27" s="256"/>
      <c r="C27" s="795" t="str">
        <f>IF(Q18=U31,0,IF($H$18=$V$12,$U$26,IF($K$18&gt;0,$T$43,IF($H$26=$K$18,$T$43,IF($H$26&gt;$K$18,$T$41,)))))</f>
        <v>Se requisitar Stand à FIL e não preencher este campo, será colocado no Stand o nome da inscrição (letra Arial Bold)</v>
      </c>
      <c r="D27" s="795"/>
      <c r="E27" s="795"/>
      <c r="F27" s="795"/>
      <c r="G27" s="795"/>
      <c r="H27" s="795"/>
      <c r="I27" s="795"/>
      <c r="J27" s="795"/>
      <c r="K27" s="795"/>
      <c r="L27" s="795"/>
      <c r="M27" s="795"/>
      <c r="N27" s="795"/>
      <c r="O27" s="795"/>
      <c r="P27" s="795"/>
      <c r="Q27" s="795"/>
      <c r="R27" s="66"/>
      <c r="S27" s="257"/>
      <c r="U27" s="512" t="s">
        <v>628</v>
      </c>
      <c r="V27" s="519"/>
      <c r="W27" s="549">
        <v>207</v>
      </c>
      <c r="X27" s="621">
        <f>IF($H$18=$V$12,0,IF($H$18&gt;0,$Y$5,))</f>
        <v>0</v>
      </c>
      <c r="Y27" s="626"/>
      <c r="Z27" s="687">
        <v>0</v>
      </c>
      <c r="AA27" s="460"/>
      <c r="AB27" s="624"/>
      <c r="AC27" s="688">
        <v>2</v>
      </c>
      <c r="AD27" s="680">
        <f t="shared" si="5"/>
        <v>0</v>
      </c>
      <c r="AE27" s="681">
        <f t="shared" si="6"/>
        <v>0</v>
      </c>
      <c r="AF27" s="682">
        <f t="shared" si="7"/>
        <v>0</v>
      </c>
      <c r="AG27" s="663">
        <f t="shared" si="8"/>
        <v>0</v>
      </c>
      <c r="AH27" s="683">
        <f t="shared" si="9"/>
        <v>0</v>
      </c>
      <c r="AI27" s="549">
        <f>IF($G$71&gt;0,#REF!,)</f>
        <v>0</v>
      </c>
      <c r="AJ27" s="548">
        <f t="shared" si="10"/>
        <v>0</v>
      </c>
      <c r="AK27" s="684">
        <f t="shared" si="11"/>
        <v>0</v>
      </c>
      <c r="AL27" s="549">
        <f t="shared" si="12"/>
        <v>0</v>
      </c>
      <c r="AM27" s="548">
        <f t="shared" si="13"/>
        <v>0</v>
      </c>
      <c r="AN27" s="685">
        <v>20</v>
      </c>
      <c r="AO27" s="686">
        <f t="shared" si="14"/>
        <v>0</v>
      </c>
      <c r="AP27" s="663">
        <f t="shared" si="1"/>
        <v>0</v>
      </c>
      <c r="AQ27" s="519"/>
      <c r="AR27" s="548">
        <f t="shared" si="3"/>
        <v>0</v>
      </c>
      <c r="AS27" s="569" t="str">
        <f>IF($L$1="Português",AS30,(IF($L$1="English",AS33,(IF($L$1="Español",AS36,(IF($L$1="Français",AS39,)))))))</f>
        <v>Francês / Espanhol</v>
      </c>
    </row>
    <row r="28" spans="1:49" ht="12.6" customHeight="1" thickBot="1" x14ac:dyDescent="0.3">
      <c r="A28" s="256"/>
      <c r="R28" s="66"/>
      <c r="S28" s="257"/>
      <c r="U28" s="512" t="s">
        <v>629</v>
      </c>
      <c r="V28" s="519"/>
      <c r="W28" s="552">
        <v>216</v>
      </c>
      <c r="X28" s="621">
        <f>IF($H$18=$V$12,0,IF($H$18&gt;0,$Y$6,))</f>
        <v>0</v>
      </c>
      <c r="Y28" s="656" t="str">
        <f>'T1'!$O$36</f>
        <v>REQUINTE com Tela</v>
      </c>
      <c r="Z28" s="677">
        <v>18</v>
      </c>
      <c r="AA28" s="678">
        <v>92.46</v>
      </c>
      <c r="AB28" s="648">
        <v>409200</v>
      </c>
      <c r="AC28" s="688">
        <v>3</v>
      </c>
      <c r="AD28" s="680">
        <f t="shared" si="5"/>
        <v>0</v>
      </c>
      <c r="AE28" s="681">
        <f t="shared" si="6"/>
        <v>0</v>
      </c>
      <c r="AF28" s="682">
        <f t="shared" si="7"/>
        <v>0</v>
      </c>
      <c r="AG28" s="663">
        <f t="shared" si="8"/>
        <v>0</v>
      </c>
      <c r="AH28" s="683">
        <f t="shared" si="9"/>
        <v>0</v>
      </c>
      <c r="AI28" s="549">
        <f>IF($G$71&gt;0,#REF!,)</f>
        <v>0</v>
      </c>
      <c r="AJ28" s="548">
        <f t="shared" si="10"/>
        <v>0</v>
      </c>
      <c r="AK28" s="684">
        <f t="shared" si="11"/>
        <v>0</v>
      </c>
      <c r="AL28" s="549">
        <f t="shared" si="12"/>
        <v>0</v>
      </c>
      <c r="AM28" s="548">
        <f t="shared" si="13"/>
        <v>0</v>
      </c>
      <c r="AN28" s="685">
        <v>30</v>
      </c>
      <c r="AO28" s="686">
        <f t="shared" si="14"/>
        <v>0</v>
      </c>
      <c r="AP28" s="663">
        <f t="shared" si="1"/>
        <v>0</v>
      </c>
      <c r="AR28" s="548">
        <f t="shared" si="3"/>
        <v>0</v>
      </c>
      <c r="AS28" s="572" t="s">
        <v>304</v>
      </c>
    </row>
    <row r="29" spans="1:49" ht="14.4" x14ac:dyDescent="0.25">
      <c r="A29" s="256"/>
      <c r="B29" s="251" t="s">
        <v>34</v>
      </c>
      <c r="C29" s="80" t="str">
        <f>'T1'!$U$21</f>
        <v>MATERIAL GRÁFICO</v>
      </c>
      <c r="D29" s="80"/>
      <c r="E29" s="81" t="str">
        <f>'T1'!$U$26</f>
        <v>(Adicional para Stands FIL)</v>
      </c>
      <c r="G29" s="81"/>
      <c r="I29" s="249" t="str">
        <f>'T1'!$C$25</f>
        <v>Ler+</v>
      </c>
      <c r="J29" s="808" t="str">
        <f>'T1'!$A$44</f>
        <v>(Largura x Altura)</v>
      </c>
      <c r="K29" s="808"/>
      <c r="L29" s="808"/>
      <c r="M29" s="808"/>
      <c r="S29" s="257"/>
      <c r="U29" s="512" t="s">
        <v>630</v>
      </c>
      <c r="W29" s="552">
        <v>225</v>
      </c>
      <c r="X29" s="621">
        <f>IF($H$18=9,$Y$24,IF($H$18=18,$Y$53,IF($H$18=27,$Y$53,IF($H$18=36,$Y$53,IF($H$18=54,Y32,IF($H$18=81,$Y$32,))))))</f>
        <v>0</v>
      </c>
      <c r="Y29" s="626"/>
      <c r="Z29" s="687">
        <v>0</v>
      </c>
      <c r="AA29" s="460"/>
      <c r="AB29" s="624"/>
      <c r="AC29" s="688">
        <v>4</v>
      </c>
      <c r="AD29" s="680">
        <f t="shared" si="5"/>
        <v>0</v>
      </c>
      <c r="AE29" s="681">
        <f t="shared" si="6"/>
        <v>0</v>
      </c>
      <c r="AF29" s="682">
        <f t="shared" si="7"/>
        <v>0</v>
      </c>
      <c r="AG29" s="663">
        <f t="shared" si="8"/>
        <v>0</v>
      </c>
      <c r="AH29" s="683">
        <f t="shared" si="9"/>
        <v>0</v>
      </c>
      <c r="AI29" s="549">
        <f>IF($G$71&gt;0,#REF!,)</f>
        <v>0</v>
      </c>
      <c r="AJ29" s="548">
        <f t="shared" si="10"/>
        <v>0</v>
      </c>
      <c r="AK29" s="684">
        <f t="shared" si="11"/>
        <v>0</v>
      </c>
      <c r="AL29" s="549">
        <f t="shared" si="12"/>
        <v>0</v>
      </c>
      <c r="AM29" s="548">
        <f t="shared" si="13"/>
        <v>0</v>
      </c>
      <c r="AN29" s="685">
        <v>40</v>
      </c>
      <c r="AO29" s="686">
        <f t="shared" si="14"/>
        <v>0</v>
      </c>
      <c r="AP29" s="663">
        <f t="shared" si="1"/>
        <v>0</v>
      </c>
      <c r="AR29" s="548">
        <f t="shared" si="3"/>
        <v>0</v>
      </c>
      <c r="AS29" s="572" t="s">
        <v>305</v>
      </c>
    </row>
    <row r="30" spans="1:49" ht="12.6" thickBot="1" x14ac:dyDescent="0.3">
      <c r="A30" s="256"/>
      <c r="C30" s="17" t="str">
        <f>'T1'!$Y$6</f>
        <v>Impressão Digital na Pala</v>
      </c>
      <c r="D30" s="66"/>
      <c r="E30" s="66"/>
      <c r="G30" s="17" t="s">
        <v>159</v>
      </c>
      <c r="J30" s="271" t="s">
        <v>702</v>
      </c>
      <c r="K30" s="66"/>
      <c r="L30" s="163">
        <v>412204</v>
      </c>
      <c r="M30" s="192"/>
      <c r="N30" s="435" t="str">
        <f>'T1'!$E$1</f>
        <v>unid.</v>
      </c>
      <c r="P30" s="26">
        <v>22.5</v>
      </c>
      <c r="Q30" s="24">
        <f>P30*M30</f>
        <v>0</v>
      </c>
      <c r="S30" s="257"/>
      <c r="T30" s="512"/>
      <c r="U30" s="512" t="s">
        <v>631</v>
      </c>
      <c r="W30" s="549">
        <v>234</v>
      </c>
      <c r="X30" s="621">
        <f>IF($H$18=9,$Y$53,IF($H$18=18,$Y$26,IF($H$18=27,$Y$30,IF($H$18=36,$Y$38,))))</f>
        <v>0</v>
      </c>
      <c r="Y30" s="690" t="str">
        <f>'T1'!$O$21</f>
        <v>REQUINTE sem Torre</v>
      </c>
      <c r="Z30" s="657">
        <v>27</v>
      </c>
      <c r="AA30" s="678">
        <v>77.61</v>
      </c>
      <c r="AB30" s="648">
        <v>410540</v>
      </c>
      <c r="AC30" s="688">
        <v>5</v>
      </c>
      <c r="AD30" s="680">
        <f t="shared" si="5"/>
        <v>0</v>
      </c>
      <c r="AE30" s="681">
        <f t="shared" si="6"/>
        <v>0</v>
      </c>
      <c r="AF30" s="682">
        <f t="shared" si="7"/>
        <v>0</v>
      </c>
      <c r="AG30" s="663">
        <f t="shared" si="8"/>
        <v>0</v>
      </c>
      <c r="AH30" s="683">
        <f t="shared" si="9"/>
        <v>0</v>
      </c>
      <c r="AI30" s="548">
        <f>IF($G$71&gt;0,#REF!,)</f>
        <v>0</v>
      </c>
      <c r="AJ30" s="548">
        <f t="shared" si="10"/>
        <v>0</v>
      </c>
      <c r="AK30" s="684">
        <f t="shared" si="11"/>
        <v>0</v>
      </c>
      <c r="AL30" s="549">
        <f t="shared" si="12"/>
        <v>0</v>
      </c>
      <c r="AM30" s="548">
        <f t="shared" si="13"/>
        <v>0</v>
      </c>
      <c r="AN30" s="685">
        <v>50</v>
      </c>
      <c r="AO30" s="686">
        <f t="shared" si="14"/>
        <v>0</v>
      </c>
      <c r="AP30" s="663">
        <f t="shared" si="1"/>
        <v>0</v>
      </c>
      <c r="AR30" s="548">
        <f t="shared" si="3"/>
        <v>0</v>
      </c>
      <c r="AS30" s="572" t="s">
        <v>306</v>
      </c>
    </row>
    <row r="31" spans="1:49" ht="12.6" customHeight="1" thickBot="1" x14ac:dyDescent="0.3">
      <c r="A31" s="256"/>
      <c r="D31" s="66"/>
      <c r="E31" s="66"/>
      <c r="F31" s="66"/>
      <c r="G31" s="66"/>
      <c r="H31" s="66"/>
      <c r="I31" s="66"/>
      <c r="J31" s="66"/>
      <c r="K31" s="66"/>
      <c r="L31" s="179"/>
      <c r="M31" s="179"/>
      <c r="N31" s="436"/>
      <c r="P31" s="26"/>
      <c r="Q31" s="24"/>
      <c r="S31" s="257"/>
      <c r="T31" s="512"/>
      <c r="U31" s="532" t="str">
        <f>IF($L$1="Português",U32,IF($L$1="English",U33,IF($L$1="Español",U34,IF($L$1="Français",U35,))))</f>
        <v>Atenção!</v>
      </c>
      <c r="W31" s="549">
        <v>243</v>
      </c>
      <c r="X31" s="644">
        <f>IF($H$18=18,$Y$28,IF($H$18=27,$Y$32,))</f>
        <v>0</v>
      </c>
      <c r="Y31" s="693"/>
      <c r="Z31" s="665">
        <v>0</v>
      </c>
      <c r="AA31" s="460"/>
      <c r="AB31" s="624"/>
      <c r="AC31" s="688">
        <v>6</v>
      </c>
      <c r="AD31" s="680">
        <f t="shared" si="5"/>
        <v>0</v>
      </c>
      <c r="AE31" s="681">
        <f t="shared" si="6"/>
        <v>0</v>
      </c>
      <c r="AF31" s="682">
        <f t="shared" si="7"/>
        <v>0</v>
      </c>
      <c r="AG31" s="663">
        <f t="shared" si="8"/>
        <v>0</v>
      </c>
      <c r="AH31" s="683">
        <f t="shared" si="9"/>
        <v>0</v>
      </c>
      <c r="AI31" s="548">
        <f>IF($G$71&gt;0,#REF!,)</f>
        <v>0</v>
      </c>
      <c r="AJ31" s="548">
        <f t="shared" si="10"/>
        <v>0</v>
      </c>
      <c r="AK31" s="684">
        <f t="shared" si="11"/>
        <v>0</v>
      </c>
      <c r="AL31" s="549">
        <f t="shared" si="12"/>
        <v>0</v>
      </c>
      <c r="AM31" s="548">
        <f t="shared" si="13"/>
        <v>0</v>
      </c>
      <c r="AN31" s="685">
        <v>75</v>
      </c>
      <c r="AO31" s="686">
        <f t="shared" si="14"/>
        <v>0</v>
      </c>
      <c r="AP31" s="663">
        <f t="shared" si="1"/>
        <v>0</v>
      </c>
      <c r="AR31" s="548">
        <f t="shared" si="3"/>
        <v>0</v>
      </c>
      <c r="AS31" s="591" t="s">
        <v>307</v>
      </c>
    </row>
    <row r="32" spans="1:49" ht="12.6" thickBot="1" x14ac:dyDescent="0.3">
      <c r="A32" s="256"/>
      <c r="C32" s="17" t="str">
        <f>'T1'!$Y$36</f>
        <v>Impressão na Parede</v>
      </c>
      <c r="D32" s="66"/>
      <c r="E32" s="66"/>
      <c r="F32" s="66"/>
      <c r="G32" s="17" t="s">
        <v>158</v>
      </c>
      <c r="H32" s="66"/>
      <c r="J32" s="17" t="s">
        <v>701</v>
      </c>
      <c r="K32" s="66"/>
      <c r="L32" s="161" t="s">
        <v>68</v>
      </c>
      <c r="M32" s="192"/>
      <c r="N32" s="435" t="str">
        <f>'T1'!$E$1</f>
        <v>unid.</v>
      </c>
      <c r="P32" s="26">
        <v>84</v>
      </c>
      <c r="Q32" s="24">
        <f>P32*M32</f>
        <v>0</v>
      </c>
      <c r="S32" s="257"/>
      <c r="T32" s="512"/>
      <c r="U32" s="519" t="s">
        <v>902</v>
      </c>
      <c r="W32" s="552">
        <v>252</v>
      </c>
      <c r="X32" s="652" t="s">
        <v>1179</v>
      </c>
      <c r="Y32" s="694" t="str">
        <f>'T1'!$O$26</f>
        <v>REQUINTE com Torre</v>
      </c>
      <c r="Z32" s="665">
        <v>27</v>
      </c>
      <c r="AA32" s="460">
        <v>132.55000000000001</v>
      </c>
      <c r="AB32" s="624">
        <v>409201</v>
      </c>
      <c r="AC32" s="688">
        <v>7</v>
      </c>
      <c r="AD32" s="680">
        <f t="shared" si="5"/>
        <v>0</v>
      </c>
      <c r="AE32" s="681">
        <f t="shared" si="6"/>
        <v>0</v>
      </c>
      <c r="AF32" s="682">
        <f t="shared" si="7"/>
        <v>0</v>
      </c>
      <c r="AG32" s="663">
        <f t="shared" si="8"/>
        <v>0</v>
      </c>
      <c r="AH32" s="683">
        <f t="shared" si="9"/>
        <v>0</v>
      </c>
      <c r="AI32" s="548">
        <f>IF($G$71&gt;0,#REF!,)</f>
        <v>0</v>
      </c>
      <c r="AJ32" s="548">
        <f t="shared" si="10"/>
        <v>0</v>
      </c>
      <c r="AK32" s="684">
        <f t="shared" si="11"/>
        <v>0</v>
      </c>
      <c r="AL32" s="549">
        <f t="shared" si="12"/>
        <v>0</v>
      </c>
      <c r="AM32" s="548">
        <f t="shared" si="13"/>
        <v>0</v>
      </c>
      <c r="AN32" s="685">
        <v>100</v>
      </c>
      <c r="AO32" s="686">
        <f t="shared" si="14"/>
        <v>0</v>
      </c>
      <c r="AP32" s="663">
        <f t="shared" si="1"/>
        <v>0</v>
      </c>
      <c r="AR32" s="548">
        <f t="shared" si="3"/>
        <v>0</v>
      </c>
      <c r="AS32" s="591" t="s">
        <v>308</v>
      </c>
    </row>
    <row r="33" spans="1:45" ht="12.6" customHeight="1" x14ac:dyDescent="0.25">
      <c r="A33" s="256"/>
      <c r="D33" s="66"/>
      <c r="E33" s="66"/>
      <c r="F33" s="66"/>
      <c r="G33" s="66"/>
      <c r="H33" s="66"/>
      <c r="I33" s="66"/>
      <c r="J33" s="66"/>
      <c r="K33" s="66"/>
      <c r="L33" s="161"/>
      <c r="M33" s="94"/>
      <c r="N33" s="437"/>
      <c r="P33" s="26"/>
      <c r="Q33" s="24"/>
      <c r="S33" s="257"/>
      <c r="U33" s="519" t="s">
        <v>903</v>
      </c>
      <c r="W33" s="552">
        <v>261</v>
      </c>
      <c r="X33" s="621"/>
      <c r="Y33" s="694" t="str">
        <f>'T1'!$O$26</f>
        <v>REQUINTE com Torre</v>
      </c>
      <c r="Z33" s="665">
        <v>36</v>
      </c>
      <c r="AA33" s="460">
        <v>93.17</v>
      </c>
      <c r="AB33" s="624">
        <v>409202</v>
      </c>
      <c r="AC33" s="688">
        <v>8</v>
      </c>
      <c r="AD33" s="680">
        <f t="shared" si="5"/>
        <v>0</v>
      </c>
      <c r="AE33" s="681">
        <f t="shared" si="6"/>
        <v>0</v>
      </c>
      <c r="AF33" s="682">
        <f t="shared" si="7"/>
        <v>0</v>
      </c>
      <c r="AG33" s="663">
        <f t="shared" si="8"/>
        <v>0</v>
      </c>
      <c r="AH33" s="683">
        <f t="shared" si="9"/>
        <v>0</v>
      </c>
      <c r="AI33" s="548">
        <f>IF($G$71&gt;0,#REF!,)</f>
        <v>0</v>
      </c>
      <c r="AJ33" s="548">
        <f t="shared" si="10"/>
        <v>0</v>
      </c>
      <c r="AK33" s="684">
        <f t="shared" si="11"/>
        <v>0</v>
      </c>
      <c r="AL33" s="549">
        <f t="shared" si="12"/>
        <v>0</v>
      </c>
      <c r="AM33" s="548">
        <f t="shared" si="13"/>
        <v>0</v>
      </c>
      <c r="AN33" s="685">
        <v>150</v>
      </c>
      <c r="AO33" s="686">
        <f t="shared" si="14"/>
        <v>0</v>
      </c>
      <c r="AP33" s="663">
        <f t="shared" si="1"/>
        <v>0</v>
      </c>
      <c r="AR33" s="548">
        <f t="shared" si="3"/>
        <v>0</v>
      </c>
      <c r="AS33" s="591" t="s">
        <v>309</v>
      </c>
    </row>
    <row r="34" spans="1:45" ht="12.6" thickBot="1" x14ac:dyDescent="0.3">
      <c r="A34" s="256"/>
      <c r="C34" s="17" t="str">
        <f>'T1'!$Y$36</f>
        <v>Impressão na Parede</v>
      </c>
      <c r="G34" s="17" t="s">
        <v>1131</v>
      </c>
      <c r="J34" s="17" t="s">
        <v>718</v>
      </c>
      <c r="K34" s="66"/>
      <c r="L34" s="160">
        <v>410940</v>
      </c>
      <c r="M34" s="192"/>
      <c r="N34" s="435" t="str">
        <f>'T1'!$E$1</f>
        <v>unid.</v>
      </c>
      <c r="P34" s="26">
        <v>193.2</v>
      </c>
      <c r="Q34" s="24">
        <f>P34*M34</f>
        <v>0</v>
      </c>
      <c r="S34" s="257"/>
      <c r="T34" s="512"/>
      <c r="U34" s="519" t="s">
        <v>904</v>
      </c>
      <c r="W34" s="549">
        <v>270</v>
      </c>
      <c r="X34" s="621">
        <f>IF($H$18=$V$12,0,IF($H$18&gt;0,$Y$3,))</f>
        <v>0</v>
      </c>
      <c r="Y34" s="694" t="str">
        <f>'T1'!$O$26</f>
        <v>REQUINTE com Torre</v>
      </c>
      <c r="Z34" s="665">
        <v>54</v>
      </c>
      <c r="AA34" s="554">
        <v>86.7</v>
      </c>
      <c r="AB34" s="624">
        <v>409203</v>
      </c>
      <c r="AC34" s="688">
        <v>9</v>
      </c>
      <c r="AD34" s="680">
        <f t="shared" si="5"/>
        <v>0</v>
      </c>
      <c r="AE34" s="681">
        <f t="shared" si="6"/>
        <v>0</v>
      </c>
      <c r="AF34" s="682">
        <f t="shared" si="7"/>
        <v>0</v>
      </c>
      <c r="AG34" s="663">
        <f t="shared" si="8"/>
        <v>0</v>
      </c>
      <c r="AH34" s="683">
        <f t="shared" si="9"/>
        <v>0</v>
      </c>
      <c r="AI34" s="548">
        <f>IF($G$71&gt;0,#REF!,)</f>
        <v>0</v>
      </c>
      <c r="AJ34" s="548">
        <f t="shared" si="10"/>
        <v>0</v>
      </c>
      <c r="AK34" s="684">
        <f t="shared" si="11"/>
        <v>0</v>
      </c>
      <c r="AL34" s="549">
        <f t="shared" si="12"/>
        <v>0</v>
      </c>
      <c r="AM34" s="548">
        <f t="shared" si="13"/>
        <v>0</v>
      </c>
      <c r="AN34" s="685">
        <v>200</v>
      </c>
      <c r="AO34" s="686">
        <f t="shared" si="14"/>
        <v>0</v>
      </c>
      <c r="AP34" s="663">
        <f t="shared" si="1"/>
        <v>0</v>
      </c>
      <c r="AR34" s="548">
        <f t="shared" si="3"/>
        <v>0</v>
      </c>
      <c r="AS34" s="572" t="s">
        <v>310</v>
      </c>
    </row>
    <row r="35" spans="1:45" ht="12.6" customHeight="1" thickBot="1" x14ac:dyDescent="0.3">
      <c r="A35" s="256"/>
      <c r="L35" s="160"/>
      <c r="M35" s="160"/>
      <c r="N35" s="438"/>
      <c r="P35" s="26"/>
      <c r="Q35" s="24"/>
      <c r="S35" s="257"/>
      <c r="U35" s="519" t="s">
        <v>903</v>
      </c>
      <c r="W35" s="549">
        <v>279</v>
      </c>
      <c r="X35" s="621">
        <f>IF($H$18=$V$12,0,IF($H$18=9,$Y$19,IF($H$18=18,$Y$19,IF($H$18=27,$Y$19,IF($H$18=36,Y19,IF($H$18=54,$Y$32,IF($H$18=81,$Y$32,)))))))</f>
        <v>0</v>
      </c>
      <c r="Y35" s="690" t="str">
        <f>'T1'!$O$26</f>
        <v>REQUINTE com Torre</v>
      </c>
      <c r="Z35" s="657">
        <v>81</v>
      </c>
      <c r="AA35" s="678">
        <v>80.66</v>
      </c>
      <c r="AB35" s="648">
        <v>409204</v>
      </c>
      <c r="AC35" s="688">
        <v>10</v>
      </c>
      <c r="AD35" s="680">
        <f t="shared" si="5"/>
        <v>0</v>
      </c>
      <c r="AE35" s="681">
        <f t="shared" si="6"/>
        <v>0</v>
      </c>
      <c r="AF35" s="682">
        <f t="shared" si="7"/>
        <v>0</v>
      </c>
      <c r="AG35" s="663">
        <f t="shared" si="8"/>
        <v>0</v>
      </c>
      <c r="AH35" s="683">
        <f t="shared" si="9"/>
        <v>0</v>
      </c>
      <c r="AI35" s="548">
        <f>IF($G$71&gt;0,#REF!,)</f>
        <v>0</v>
      </c>
      <c r="AJ35" s="548">
        <f t="shared" si="10"/>
        <v>0</v>
      </c>
      <c r="AK35" s="684">
        <f t="shared" si="11"/>
        <v>0</v>
      </c>
      <c r="AL35" s="549">
        <f t="shared" si="12"/>
        <v>0</v>
      </c>
      <c r="AM35" s="548">
        <f t="shared" si="13"/>
        <v>0</v>
      </c>
      <c r="AN35" s="685">
        <v>210</v>
      </c>
      <c r="AO35" s="686">
        <f t="shared" si="14"/>
        <v>0</v>
      </c>
      <c r="AP35" s="663">
        <f t="shared" ref="AP35:AP66" si="15">IF($J$132&gt;0,AC61,)</f>
        <v>0</v>
      </c>
      <c r="AR35" s="548">
        <f t="shared" ref="AR35:AR66" si="16">IF($J$134&gt;0,AC61,)</f>
        <v>0</v>
      </c>
      <c r="AS35" s="572" t="s">
        <v>311</v>
      </c>
    </row>
    <row r="36" spans="1:45" ht="12" x14ac:dyDescent="0.25">
      <c r="A36" s="256"/>
      <c r="B36" s="251" t="s">
        <v>34</v>
      </c>
      <c r="C36" s="80" t="str">
        <f>'T1'!$U$16</f>
        <v>MOBILIÁRIO / MATERIAL</v>
      </c>
      <c r="D36" s="66"/>
      <c r="E36" s="66"/>
      <c r="F36" s="81" t="str">
        <f>'T1'!$U$26</f>
        <v>(Adicional para Stands FIL)</v>
      </c>
      <c r="H36" s="81"/>
      <c r="I36" s="81"/>
      <c r="J36" s="81"/>
      <c r="N36" s="251"/>
      <c r="R36" s="66"/>
      <c r="S36" s="257"/>
      <c r="T36" s="592" t="str">
        <f>'T1'!$Y$51</f>
        <v>Atenção! Não preencheu Campo Obrigatório</v>
      </c>
      <c r="U36" s="699"/>
      <c r="W36" s="552">
        <v>288</v>
      </c>
      <c r="X36" s="621">
        <f>IF($H$18=$V$12,0,IF($H$18=18,$Y$26,IF($H$18=27,$Y$30,IF($H$18=36,$Y$32,))))</f>
        <v>0</v>
      </c>
      <c r="Y36" s="693"/>
      <c r="Z36" s="665">
        <v>0</v>
      </c>
      <c r="AA36" s="460"/>
      <c r="AB36" s="624"/>
      <c r="AC36" s="688">
        <v>11</v>
      </c>
      <c r="AD36" s="680">
        <f t="shared" si="5"/>
        <v>0</v>
      </c>
      <c r="AE36" s="681">
        <f t="shared" si="6"/>
        <v>0</v>
      </c>
      <c r="AF36" s="682">
        <f t="shared" si="7"/>
        <v>0</v>
      </c>
      <c r="AG36" s="663">
        <f t="shared" si="8"/>
        <v>0</v>
      </c>
      <c r="AH36" s="683">
        <f t="shared" si="9"/>
        <v>0</v>
      </c>
      <c r="AI36" s="548">
        <f>IF($G$71&gt;0,#REF!,)</f>
        <v>0</v>
      </c>
      <c r="AJ36" s="548">
        <f t="shared" si="10"/>
        <v>0</v>
      </c>
      <c r="AK36" s="684">
        <f t="shared" si="11"/>
        <v>0</v>
      </c>
      <c r="AL36" s="549">
        <f t="shared" si="12"/>
        <v>0</v>
      </c>
      <c r="AM36" s="548">
        <f t="shared" si="13"/>
        <v>0</v>
      </c>
      <c r="AN36" s="685">
        <v>220</v>
      </c>
      <c r="AO36" s="686">
        <f t="shared" si="14"/>
        <v>0</v>
      </c>
      <c r="AP36" s="663">
        <f t="shared" si="15"/>
        <v>0</v>
      </c>
      <c r="AR36" s="548">
        <f t="shared" si="16"/>
        <v>0</v>
      </c>
      <c r="AS36" s="572" t="s">
        <v>312</v>
      </c>
    </row>
    <row r="37" spans="1:45" ht="12.6" customHeight="1" thickBot="1" x14ac:dyDescent="0.3">
      <c r="A37" s="256"/>
      <c r="C37" s="17" t="str">
        <f>'T1'!$U$31</f>
        <v>Cadeira em PVC branca e pés cinza</v>
      </c>
      <c r="D37" s="66"/>
      <c r="E37" s="66"/>
      <c r="F37" s="66"/>
      <c r="G37" s="66"/>
      <c r="H37" s="66"/>
      <c r="I37" s="66"/>
      <c r="J37" s="66"/>
      <c r="K37" s="66"/>
      <c r="L37" s="161" t="s">
        <v>63</v>
      </c>
      <c r="M37" s="192"/>
      <c r="N37" s="435" t="str">
        <f>'T1'!$E$1</f>
        <v>unid.</v>
      </c>
      <c r="P37" s="95">
        <v>7.5</v>
      </c>
      <c r="Q37" s="24">
        <f>SUM(P37*M37)</f>
        <v>0</v>
      </c>
      <c r="S37" s="257"/>
      <c r="T37" s="560" t="str">
        <f>'T2'!$A$13</f>
        <v>O Stand inclui Quadro Eléctrico e será entregue à partir das 15H00 do dia</v>
      </c>
      <c r="W37" s="552">
        <v>297</v>
      </c>
      <c r="X37" s="644">
        <f>IF($H$18=$V$12,0,IF($H$18=18,$Y$28,IF($H$18=27,$Y$32,)))</f>
        <v>0</v>
      </c>
      <c r="Y37" s="693" t="s">
        <v>882</v>
      </c>
      <c r="Z37" s="700">
        <v>9</v>
      </c>
      <c r="AA37" s="701">
        <v>39.619999999999997</v>
      </c>
      <c r="AB37" s="702">
        <v>401121</v>
      </c>
      <c r="AC37" s="688">
        <v>12</v>
      </c>
      <c r="AD37" s="680">
        <f t="shared" si="5"/>
        <v>0</v>
      </c>
      <c r="AE37" s="681">
        <f t="shared" si="6"/>
        <v>0</v>
      </c>
      <c r="AF37" s="682">
        <f t="shared" si="7"/>
        <v>0</v>
      </c>
      <c r="AG37" s="663">
        <f t="shared" si="8"/>
        <v>0</v>
      </c>
      <c r="AH37" s="683">
        <f t="shared" si="9"/>
        <v>0</v>
      </c>
      <c r="AI37" s="548">
        <f>IF($G$71&gt;0,#REF!,)</f>
        <v>0</v>
      </c>
      <c r="AJ37" s="548">
        <f t="shared" si="10"/>
        <v>0</v>
      </c>
      <c r="AK37" s="684">
        <f t="shared" si="11"/>
        <v>0</v>
      </c>
      <c r="AL37" s="549">
        <f t="shared" si="12"/>
        <v>0</v>
      </c>
      <c r="AM37" s="548">
        <f t="shared" si="13"/>
        <v>0</v>
      </c>
      <c r="AN37" s="685">
        <v>230</v>
      </c>
      <c r="AO37" s="686">
        <f t="shared" si="14"/>
        <v>0</v>
      </c>
      <c r="AP37" s="663">
        <f t="shared" si="15"/>
        <v>0</v>
      </c>
      <c r="AR37" s="548">
        <f t="shared" si="16"/>
        <v>0</v>
      </c>
      <c r="AS37" s="703" t="s">
        <v>313</v>
      </c>
    </row>
    <row r="38" spans="1:45" ht="12" x14ac:dyDescent="0.25">
      <c r="A38" s="256"/>
      <c r="D38" s="66"/>
      <c r="E38" s="66"/>
      <c r="F38" s="66"/>
      <c r="G38" s="66"/>
      <c r="H38" s="66"/>
      <c r="I38" s="66"/>
      <c r="J38" s="66"/>
      <c r="K38" s="66"/>
      <c r="L38" s="378"/>
      <c r="M38" s="84"/>
      <c r="N38" s="435"/>
      <c r="P38" s="95"/>
      <c r="Q38" s="24"/>
      <c r="S38" s="257"/>
      <c r="T38" s="560" t="str">
        <f>'T2'!$A$28</f>
        <v>Obrigatório enviar projecto do Stand para aprovação da FIL (Ler NORMAS DE PARTICIPAÇÃO) até</v>
      </c>
      <c r="W38" s="549">
        <v>306</v>
      </c>
      <c r="X38" s="652" t="s">
        <v>883</v>
      </c>
      <c r="Y38" s="693" t="s">
        <v>882</v>
      </c>
      <c r="Z38" s="700">
        <v>18</v>
      </c>
      <c r="AA38" s="701">
        <v>39.619999999999997</v>
      </c>
      <c r="AB38" s="702">
        <v>401121</v>
      </c>
      <c r="AC38" s="688">
        <v>13</v>
      </c>
      <c r="AD38" s="680">
        <f t="shared" si="5"/>
        <v>0</v>
      </c>
      <c r="AE38" s="681">
        <f t="shared" si="6"/>
        <v>0</v>
      </c>
      <c r="AF38" s="682">
        <f t="shared" si="7"/>
        <v>0</v>
      </c>
      <c r="AG38" s="663">
        <f t="shared" si="8"/>
        <v>0</v>
      </c>
      <c r="AH38" s="683">
        <f t="shared" si="9"/>
        <v>0</v>
      </c>
      <c r="AI38" s="548">
        <f>IF($G$71&gt;0,#REF!,)</f>
        <v>0</v>
      </c>
      <c r="AJ38" s="548">
        <f t="shared" si="10"/>
        <v>0</v>
      </c>
      <c r="AK38" s="684">
        <f t="shared" si="11"/>
        <v>0</v>
      </c>
      <c r="AL38" s="549">
        <f t="shared" si="12"/>
        <v>0</v>
      </c>
      <c r="AM38" s="548">
        <f t="shared" si="13"/>
        <v>0</v>
      </c>
      <c r="AN38" s="685">
        <v>240</v>
      </c>
      <c r="AO38" s="686">
        <f t="shared" si="14"/>
        <v>0</v>
      </c>
      <c r="AP38" s="663">
        <f t="shared" si="15"/>
        <v>0</v>
      </c>
      <c r="AR38" s="548">
        <f t="shared" si="16"/>
        <v>0</v>
      </c>
      <c r="AS38" s="703" t="s">
        <v>314</v>
      </c>
    </row>
    <row r="39" spans="1:45" ht="12.6" customHeight="1" thickBot="1" x14ac:dyDescent="0.3">
      <c r="A39" s="256"/>
      <c r="C39" s="17" t="str">
        <f>'T1'!$U$6</f>
        <v>Banco alto branco CONCHA</v>
      </c>
      <c r="D39" s="66"/>
      <c r="I39" s="1" t="s">
        <v>1132</v>
      </c>
      <c r="L39" s="379">
        <v>411363</v>
      </c>
      <c r="M39" s="192"/>
      <c r="N39" s="435" t="str">
        <f>'T1'!$E$1</f>
        <v>unid.</v>
      </c>
      <c r="P39" s="95">
        <v>15.4</v>
      </c>
      <c r="Q39" s="24">
        <f>SUM(P39*M39)</f>
        <v>0</v>
      </c>
      <c r="S39" s="257"/>
      <c r="T39" s="704">
        <f>'T1'!$C$9</f>
        <v>45348.5</v>
      </c>
      <c r="W39" s="549">
        <v>315</v>
      </c>
      <c r="X39" s="655"/>
      <c r="Y39" s="693" t="s">
        <v>882</v>
      </c>
      <c r="Z39" s="700">
        <v>27</v>
      </c>
      <c r="AA39" s="701">
        <v>39.619999999999997</v>
      </c>
      <c r="AB39" s="702">
        <v>401121</v>
      </c>
      <c r="AC39" s="688">
        <v>14</v>
      </c>
      <c r="AD39" s="680">
        <f t="shared" si="5"/>
        <v>0</v>
      </c>
      <c r="AE39" s="681">
        <f t="shared" si="6"/>
        <v>0</v>
      </c>
      <c r="AF39" s="682">
        <f t="shared" si="7"/>
        <v>0</v>
      </c>
      <c r="AG39" s="663">
        <f t="shared" si="8"/>
        <v>0</v>
      </c>
      <c r="AH39" s="683">
        <f t="shared" si="9"/>
        <v>0</v>
      </c>
      <c r="AI39" s="548">
        <f>IF($G$71&gt;0,#REF!,)</f>
        <v>0</v>
      </c>
      <c r="AJ39" s="548">
        <f t="shared" si="10"/>
        <v>0</v>
      </c>
      <c r="AK39" s="684">
        <f t="shared" si="11"/>
        <v>0</v>
      </c>
      <c r="AL39" s="549">
        <f t="shared" si="12"/>
        <v>0</v>
      </c>
      <c r="AM39" s="548">
        <f t="shared" si="13"/>
        <v>0</v>
      </c>
      <c r="AN39" s="685">
        <v>250</v>
      </c>
      <c r="AO39" s="686">
        <f t="shared" si="14"/>
        <v>0</v>
      </c>
      <c r="AP39" s="663">
        <f t="shared" si="15"/>
        <v>0</v>
      </c>
      <c r="AR39" s="548">
        <f t="shared" si="16"/>
        <v>0</v>
      </c>
      <c r="AS39" s="633" t="s">
        <v>315</v>
      </c>
    </row>
    <row r="40" spans="1:45" ht="12.6" thickBot="1" x14ac:dyDescent="0.3">
      <c r="A40" s="256"/>
      <c r="D40" s="66"/>
      <c r="E40" s="66"/>
      <c r="F40" s="66"/>
      <c r="G40" s="66"/>
      <c r="H40" s="66"/>
      <c r="I40" s="66"/>
      <c r="J40" s="66"/>
      <c r="K40" s="66"/>
      <c r="L40" s="161"/>
      <c r="M40" s="25"/>
      <c r="N40" s="439"/>
      <c r="P40" s="26"/>
      <c r="Q40" s="44"/>
      <c r="S40" s="257"/>
      <c r="T40" s="704">
        <f>'T1'!$C$7</f>
        <v>45325</v>
      </c>
      <c r="W40" s="552">
        <v>324</v>
      </c>
      <c r="X40" s="621">
        <f>IF($H$18=$V$12,0,IF($H$18&gt;0,$Y$3,))</f>
        <v>0</v>
      </c>
      <c r="Y40" s="705" t="s">
        <v>882</v>
      </c>
      <c r="Z40" s="706">
        <v>36</v>
      </c>
      <c r="AA40" s="707">
        <v>39.619999999999997</v>
      </c>
      <c r="AB40" s="708">
        <v>401121</v>
      </c>
      <c r="AC40" s="688">
        <v>15</v>
      </c>
      <c r="AD40" s="680">
        <f t="shared" si="5"/>
        <v>0</v>
      </c>
      <c r="AE40" s="681">
        <f t="shared" si="6"/>
        <v>0</v>
      </c>
      <c r="AF40" s="682">
        <f t="shared" si="7"/>
        <v>0</v>
      </c>
      <c r="AG40" s="663">
        <f t="shared" si="8"/>
        <v>0</v>
      </c>
      <c r="AH40" s="683">
        <f t="shared" si="9"/>
        <v>0</v>
      </c>
      <c r="AI40" s="548">
        <f>IF($G$71&gt;0,#REF!,)</f>
        <v>0</v>
      </c>
      <c r="AJ40" s="548">
        <f t="shared" si="10"/>
        <v>0</v>
      </c>
      <c r="AK40" s="684">
        <f t="shared" si="11"/>
        <v>0</v>
      </c>
      <c r="AL40" s="549">
        <f t="shared" si="12"/>
        <v>0</v>
      </c>
      <c r="AM40" s="548">
        <f t="shared" si="13"/>
        <v>0</v>
      </c>
      <c r="AN40" s="685">
        <v>275</v>
      </c>
      <c r="AO40" s="686">
        <f t="shared" si="14"/>
        <v>0</v>
      </c>
      <c r="AP40" s="663">
        <f t="shared" si="15"/>
        <v>0</v>
      </c>
      <c r="AR40" s="548">
        <f t="shared" si="16"/>
        <v>0</v>
      </c>
    </row>
    <row r="41" spans="1:45" ht="13.8" customHeight="1" thickBot="1" x14ac:dyDescent="0.3">
      <c r="A41" s="256"/>
      <c r="C41" s="17" t="str">
        <f>'T1'!$U$36</f>
        <v xml:space="preserve">Mesa redonda branca </v>
      </c>
      <c r="D41" s="66"/>
      <c r="E41" s="66"/>
      <c r="H41" s="66"/>
      <c r="I41" s="31" t="s">
        <v>977</v>
      </c>
      <c r="K41" s="66"/>
      <c r="L41" s="161" t="s">
        <v>95</v>
      </c>
      <c r="M41" s="192"/>
      <c r="N41" s="435" t="str">
        <f>'T1'!$E$1</f>
        <v>unid.</v>
      </c>
      <c r="P41" s="26">
        <v>22</v>
      </c>
      <c r="Q41" s="24">
        <f>SUM(P41*M41)</f>
        <v>0</v>
      </c>
      <c r="S41" s="257"/>
      <c r="T41" s="560" t="str">
        <f>'T2'!$A$43</f>
        <v>Atenção! Não requisitou m2/Stand. Este campo só é válido para Stands da FIL</v>
      </c>
      <c r="U41" s="512"/>
      <c r="W41" s="552">
        <v>333</v>
      </c>
      <c r="X41" s="621">
        <f>IF($H$18=$V$12,0,IF($H$18=0,0,IF($H$18&lt;=36,Y37,IF($H$18=54,Y38,IF($H$18=81,Y38,)))))</f>
        <v>0</v>
      </c>
      <c r="Y41" s="693"/>
      <c r="Z41" s="700">
        <v>0</v>
      </c>
      <c r="AA41" s="701"/>
      <c r="AB41" s="702"/>
      <c r="AC41" s="688">
        <v>16</v>
      </c>
      <c r="AD41" s="680">
        <f t="shared" si="5"/>
        <v>0</v>
      </c>
      <c r="AE41" s="681">
        <f t="shared" si="6"/>
        <v>0</v>
      </c>
      <c r="AF41" s="682">
        <f t="shared" si="7"/>
        <v>0</v>
      </c>
      <c r="AG41" s="663">
        <f t="shared" si="8"/>
        <v>0</v>
      </c>
      <c r="AH41" s="683">
        <f t="shared" si="9"/>
        <v>0</v>
      </c>
      <c r="AI41" s="548">
        <f>IF($G$71&gt;0,#REF!,)</f>
        <v>0</v>
      </c>
      <c r="AJ41" s="548">
        <f t="shared" si="10"/>
        <v>0</v>
      </c>
      <c r="AK41" s="684">
        <f t="shared" si="11"/>
        <v>0</v>
      </c>
      <c r="AL41" s="549">
        <f t="shared" si="12"/>
        <v>0</v>
      </c>
      <c r="AM41" s="548">
        <f t="shared" si="13"/>
        <v>0</v>
      </c>
      <c r="AN41" s="685">
        <v>300</v>
      </c>
      <c r="AO41" s="686">
        <f t="shared" si="14"/>
        <v>0</v>
      </c>
      <c r="AP41" s="663">
        <f t="shared" si="15"/>
        <v>0</v>
      </c>
      <c r="AR41" s="548">
        <f t="shared" si="16"/>
        <v>0</v>
      </c>
      <c r="AS41" s="654" t="s">
        <v>585</v>
      </c>
    </row>
    <row r="42" spans="1:45" ht="12" x14ac:dyDescent="0.25">
      <c r="A42" s="256"/>
      <c r="D42" s="66"/>
      <c r="E42" s="66"/>
      <c r="F42" s="66"/>
      <c r="G42" s="66"/>
      <c r="H42" s="66"/>
      <c r="I42" s="66"/>
      <c r="J42" s="66"/>
      <c r="K42" s="66"/>
      <c r="L42" s="161"/>
      <c r="M42" s="25"/>
      <c r="N42" s="439"/>
      <c r="P42" s="26"/>
      <c r="Q42" s="44"/>
      <c r="S42" s="257"/>
      <c r="T42" s="560">
        <f>IF(M26&gt;20,U16,)</f>
        <v>0</v>
      </c>
      <c r="U42" s="512"/>
      <c r="W42" s="549">
        <v>342</v>
      </c>
      <c r="X42" s="621">
        <f>IF($H$18=18,$Y$26,IF($H$18=27,$Y$30,IF($H$18=36,$Y$38,)))</f>
        <v>0</v>
      </c>
      <c r="Y42" s="537" t="s">
        <v>733</v>
      </c>
      <c r="Z42" s="709">
        <v>18</v>
      </c>
      <c r="AA42" s="710">
        <v>75.53</v>
      </c>
      <c r="AB42" s="702">
        <v>411951</v>
      </c>
      <c r="AC42" s="688">
        <v>17</v>
      </c>
      <c r="AD42" s="680">
        <f t="shared" si="5"/>
        <v>0</v>
      </c>
      <c r="AE42" s="681">
        <f t="shared" si="6"/>
        <v>0</v>
      </c>
      <c r="AF42" s="682">
        <f t="shared" si="7"/>
        <v>0</v>
      </c>
      <c r="AG42" s="663">
        <f t="shared" si="8"/>
        <v>0</v>
      </c>
      <c r="AH42" s="683">
        <f t="shared" si="9"/>
        <v>0</v>
      </c>
      <c r="AI42" s="548">
        <f>IF($G$71&gt;0,#REF!,)</f>
        <v>0</v>
      </c>
      <c r="AJ42" s="548">
        <f t="shared" si="10"/>
        <v>0</v>
      </c>
      <c r="AK42" s="684">
        <f t="shared" si="11"/>
        <v>0</v>
      </c>
      <c r="AL42" s="549">
        <f t="shared" si="12"/>
        <v>0</v>
      </c>
      <c r="AM42" s="548">
        <f t="shared" si="13"/>
        <v>0</v>
      </c>
      <c r="AN42" s="685">
        <v>350</v>
      </c>
      <c r="AO42" s="686">
        <f t="shared" si="14"/>
        <v>0</v>
      </c>
      <c r="AP42" s="663">
        <f t="shared" si="15"/>
        <v>0</v>
      </c>
      <c r="AR42" s="548">
        <f t="shared" si="16"/>
        <v>0</v>
      </c>
      <c r="AS42" s="672"/>
    </row>
    <row r="43" spans="1:45" ht="12.6" customHeight="1" thickBot="1" x14ac:dyDescent="0.3">
      <c r="A43" s="256"/>
      <c r="C43" s="85" t="str">
        <f>'T2'!$A$48</f>
        <v>Balcão FIL A - branco e cinza, prateleira, portas e fechadura (1,03x 0,50x1,00 Alt)</v>
      </c>
      <c r="D43" s="85"/>
      <c r="E43" s="85"/>
      <c r="F43" s="85"/>
      <c r="G43" s="85"/>
      <c r="H43" s="85"/>
      <c r="I43" s="85"/>
      <c r="J43" s="85"/>
      <c r="K43" s="66"/>
      <c r="L43" s="163">
        <v>411061</v>
      </c>
      <c r="M43" s="192"/>
      <c r="N43" s="435" t="str">
        <f>'T1'!$E$1</f>
        <v>unid.</v>
      </c>
      <c r="P43" s="26">
        <v>55</v>
      </c>
      <c r="Q43" s="24">
        <f>SUM(P43*M43)</f>
        <v>0</v>
      </c>
      <c r="S43" s="257"/>
      <c r="T43" s="560" t="str">
        <f>'T2'!$A$38</f>
        <v>Se requisitar Stand à FIL e não preencher este campo, será colocado no Stand o nome da inscrição (letra Arial Bold)</v>
      </c>
      <c r="U43" s="512"/>
      <c r="W43" s="549">
        <v>351</v>
      </c>
      <c r="X43" s="644">
        <f>IF($H$18=18,$Y$28,IF($H$18=27,$Y$32,))</f>
        <v>0</v>
      </c>
      <c r="Y43" s="537" t="s">
        <v>733</v>
      </c>
      <c r="Z43" s="709">
        <v>27</v>
      </c>
      <c r="AA43" s="710">
        <v>73.63</v>
      </c>
      <c r="AB43" s="702">
        <v>411951</v>
      </c>
      <c r="AC43" s="688">
        <v>18</v>
      </c>
      <c r="AD43" s="680">
        <f t="shared" si="5"/>
        <v>0</v>
      </c>
      <c r="AE43" s="681">
        <f t="shared" si="6"/>
        <v>0</v>
      </c>
      <c r="AF43" s="682">
        <f t="shared" si="7"/>
        <v>0</v>
      </c>
      <c r="AG43" s="663">
        <f t="shared" si="8"/>
        <v>0</v>
      </c>
      <c r="AH43" s="683">
        <f t="shared" si="9"/>
        <v>0</v>
      </c>
      <c r="AI43" s="548">
        <f>IF($G$71&gt;0,#REF!,)</f>
        <v>0</v>
      </c>
      <c r="AJ43" s="548">
        <f t="shared" si="10"/>
        <v>0</v>
      </c>
      <c r="AK43" s="684">
        <f t="shared" si="11"/>
        <v>0</v>
      </c>
      <c r="AL43" s="549">
        <f t="shared" si="12"/>
        <v>0</v>
      </c>
      <c r="AM43" s="548">
        <f t="shared" si="13"/>
        <v>0</v>
      </c>
      <c r="AN43" s="711">
        <v>400</v>
      </c>
      <c r="AO43" s="712">
        <f t="shared" si="14"/>
        <v>0</v>
      </c>
      <c r="AP43" s="663">
        <f t="shared" si="15"/>
        <v>0</v>
      </c>
      <c r="AR43" s="548">
        <f t="shared" si="16"/>
        <v>0</v>
      </c>
      <c r="AS43" s="530">
        <f>IF($K$18='T1'!$K$16,0,IF($H$18=$V$12,0,IF($Q$18&gt;0,V12,)))</f>
        <v>0</v>
      </c>
    </row>
    <row r="44" spans="1:45" ht="12" x14ac:dyDescent="0.25">
      <c r="A44" s="256"/>
      <c r="D44" s="66"/>
      <c r="E44" s="66"/>
      <c r="F44" s="66"/>
      <c r="G44" s="66"/>
      <c r="H44" s="66"/>
      <c r="I44" s="66"/>
      <c r="J44" s="66"/>
      <c r="K44" s="66"/>
      <c r="L44" s="161"/>
      <c r="M44" s="94"/>
      <c r="N44" s="251"/>
      <c r="P44" s="26"/>
      <c r="Q44" s="24"/>
      <c r="S44" s="257"/>
      <c r="T44" s="560">
        <f>IF(H26&gt;0,0,IF(K18&gt;0,T43,))</f>
        <v>0</v>
      </c>
      <c r="U44" s="512"/>
      <c r="W44" s="713">
        <v>360</v>
      </c>
      <c r="X44" s="653"/>
      <c r="Y44" s="537" t="s">
        <v>733</v>
      </c>
      <c r="Z44" s="709">
        <v>36</v>
      </c>
      <c r="AA44" s="710">
        <v>47.98</v>
      </c>
      <c r="AB44" s="702">
        <v>411951</v>
      </c>
      <c r="AC44" s="688">
        <v>19</v>
      </c>
      <c r="AD44" s="680">
        <f t="shared" si="5"/>
        <v>0</v>
      </c>
      <c r="AE44" s="681">
        <f t="shared" si="6"/>
        <v>0</v>
      </c>
      <c r="AF44" s="682">
        <f t="shared" si="7"/>
        <v>0</v>
      </c>
      <c r="AG44" s="663">
        <f t="shared" si="8"/>
        <v>0</v>
      </c>
      <c r="AH44" s="683">
        <f t="shared" si="9"/>
        <v>0</v>
      </c>
      <c r="AI44" s="548">
        <f>IF($G$71&gt;0,#REF!,)</f>
        <v>0</v>
      </c>
      <c r="AJ44" s="548">
        <f t="shared" si="10"/>
        <v>0</v>
      </c>
      <c r="AK44" s="684">
        <f t="shared" si="11"/>
        <v>0</v>
      </c>
      <c r="AL44" s="549">
        <f t="shared" si="12"/>
        <v>0</v>
      </c>
      <c r="AM44" s="548">
        <f t="shared" si="13"/>
        <v>0</v>
      </c>
      <c r="AN44" s="512"/>
      <c r="AP44" s="663">
        <f t="shared" si="15"/>
        <v>0</v>
      </c>
      <c r="AR44" s="548">
        <f t="shared" si="16"/>
        <v>0</v>
      </c>
      <c r="AS44" s="530">
        <f>IF($K$18='T1'!$K$16,0,IF($H$18=$V$12,0,IF($Q$18&gt;0,AS63,)))</f>
        <v>0</v>
      </c>
    </row>
    <row r="45" spans="1:45" ht="13.2" customHeight="1" thickBot="1" x14ac:dyDescent="0.3">
      <c r="A45" s="256"/>
      <c r="C45" s="17" t="str">
        <f>'T1'!$U$41</f>
        <v>Armazém com porta</v>
      </c>
      <c r="D45" s="66"/>
      <c r="E45" s="66"/>
      <c r="G45" s="17" t="s">
        <v>1136</v>
      </c>
      <c r="H45" s="66"/>
      <c r="J45" s="249" t="str">
        <f>'T1'!$C$25</f>
        <v>Ler+</v>
      </c>
      <c r="K45" s="66"/>
      <c r="L45" s="163">
        <f>$AB$78</f>
        <v>0</v>
      </c>
      <c r="M45" s="192"/>
      <c r="N45" s="435" t="str">
        <f>'T1'!$E$1</f>
        <v>unid.</v>
      </c>
      <c r="P45" s="26"/>
      <c r="Q45" s="24">
        <f>$AA$78</f>
        <v>0</v>
      </c>
      <c r="S45" s="257"/>
      <c r="T45" s="560">
        <f>IF($H$18=$V$12,C21,)</f>
        <v>0</v>
      </c>
      <c r="W45" s="713">
        <v>369</v>
      </c>
      <c r="X45" s="653"/>
      <c r="Y45" s="537" t="s">
        <v>733</v>
      </c>
      <c r="Z45" s="709">
        <v>54</v>
      </c>
      <c r="AA45" s="710">
        <v>45.13</v>
      </c>
      <c r="AB45" s="702">
        <v>411951</v>
      </c>
      <c r="AC45" s="688">
        <v>20</v>
      </c>
      <c r="AD45" s="680">
        <f t="shared" si="5"/>
        <v>0</v>
      </c>
      <c r="AE45" s="681">
        <f t="shared" si="6"/>
        <v>0</v>
      </c>
      <c r="AF45" s="682">
        <f t="shared" si="7"/>
        <v>0</v>
      </c>
      <c r="AG45" s="663">
        <f t="shared" si="8"/>
        <v>0</v>
      </c>
      <c r="AH45" s="683">
        <f t="shared" si="9"/>
        <v>0</v>
      </c>
      <c r="AI45" s="548">
        <f>IF($G$71&gt;0,#REF!,)</f>
        <v>0</v>
      </c>
      <c r="AJ45" s="548">
        <f t="shared" si="10"/>
        <v>0</v>
      </c>
      <c r="AK45" s="684">
        <f t="shared" si="11"/>
        <v>0</v>
      </c>
      <c r="AL45" s="549">
        <f t="shared" si="12"/>
        <v>0</v>
      </c>
      <c r="AM45" s="548">
        <f t="shared" si="13"/>
        <v>0</v>
      </c>
      <c r="AP45" s="663">
        <f t="shared" si="15"/>
        <v>0</v>
      </c>
      <c r="AR45" s="548">
        <f t="shared" si="16"/>
        <v>0</v>
      </c>
      <c r="AS45" s="530">
        <f>IF($K$18='T1'!$K$16,0,IF($H$18=$V$12,0,IF($Q$18&gt;0,AS64,)))</f>
        <v>0</v>
      </c>
    </row>
    <row r="46" spans="1:45" ht="13.8" customHeight="1" thickBot="1" x14ac:dyDescent="0.3">
      <c r="A46" s="256"/>
      <c r="D46" s="66"/>
      <c r="E46" s="66"/>
      <c r="F46" s="66"/>
      <c r="G46" s="66"/>
      <c r="H46" s="66"/>
      <c r="I46" s="66"/>
      <c r="J46" s="66"/>
      <c r="K46" s="66"/>
      <c r="L46" s="161"/>
      <c r="M46" s="25"/>
      <c r="N46" s="439"/>
      <c r="P46" s="61"/>
      <c r="Q46" s="44"/>
      <c r="S46" s="257"/>
      <c r="T46" s="512"/>
      <c r="U46" s="512"/>
      <c r="W46" s="548">
        <v>378</v>
      </c>
      <c r="X46" s="460"/>
      <c r="Y46" s="570" t="s">
        <v>733</v>
      </c>
      <c r="Z46" s="714">
        <v>72</v>
      </c>
      <c r="AA46" s="715">
        <v>28</v>
      </c>
      <c r="AB46" s="708">
        <v>411951</v>
      </c>
      <c r="AC46" s="688">
        <v>21</v>
      </c>
      <c r="AD46" s="680">
        <f t="shared" si="5"/>
        <v>0</v>
      </c>
      <c r="AE46" s="681">
        <f t="shared" si="6"/>
        <v>0</v>
      </c>
      <c r="AF46" s="682">
        <f t="shared" si="7"/>
        <v>0</v>
      </c>
      <c r="AG46" s="663">
        <f t="shared" si="8"/>
        <v>0</v>
      </c>
      <c r="AH46" s="683">
        <f t="shared" si="9"/>
        <v>0</v>
      </c>
      <c r="AI46" s="548">
        <f>IF($G$71&gt;0,#REF!,)</f>
        <v>0</v>
      </c>
      <c r="AJ46" s="548">
        <f t="shared" si="10"/>
        <v>0</v>
      </c>
      <c r="AK46" s="684">
        <f t="shared" si="11"/>
        <v>0</v>
      </c>
      <c r="AL46" s="549">
        <f t="shared" si="12"/>
        <v>0</v>
      </c>
      <c r="AM46" s="548">
        <f t="shared" si="13"/>
        <v>0</v>
      </c>
      <c r="AP46" s="663">
        <f t="shared" si="15"/>
        <v>0</v>
      </c>
      <c r="AR46" s="548">
        <f t="shared" si="16"/>
        <v>0</v>
      </c>
      <c r="AS46" s="530">
        <f>IF($K$18='T1'!$K$16,0,IF($H$18=$V$12,0,IF($Q$18&gt;0,AS65,)))</f>
        <v>0</v>
      </c>
    </row>
    <row r="47" spans="1:45" ht="13.2" customHeight="1" thickBot="1" x14ac:dyDescent="0.3">
      <c r="A47" s="256"/>
      <c r="C47" s="17" t="str">
        <f>'T1'!$U$11</f>
        <v>Porta folhetos 5 bolsas A4</v>
      </c>
      <c r="D47" s="66"/>
      <c r="E47" s="66"/>
      <c r="F47" s="66"/>
      <c r="G47" s="66"/>
      <c r="H47" s="66"/>
      <c r="I47" s="66"/>
      <c r="J47" s="66"/>
      <c r="K47" s="66"/>
      <c r="L47" s="161" t="s">
        <v>69</v>
      </c>
      <c r="M47" s="192"/>
      <c r="N47" s="435" t="str">
        <f>'T1'!$E$1</f>
        <v>unid.</v>
      </c>
      <c r="P47" s="29">
        <v>29.28</v>
      </c>
      <c r="Q47" s="24">
        <f>SUM(P47*M47)</f>
        <v>0</v>
      </c>
      <c r="S47" s="257"/>
      <c r="T47" s="512"/>
      <c r="U47" s="512"/>
      <c r="W47" s="548">
        <v>387</v>
      </c>
      <c r="X47" s="460"/>
      <c r="Y47" s="537"/>
      <c r="Z47" s="709">
        <v>0</v>
      </c>
      <c r="AA47" s="710"/>
      <c r="AB47" s="702"/>
      <c r="AC47" s="716">
        <v>22</v>
      </c>
      <c r="AD47" s="680">
        <f t="shared" si="5"/>
        <v>0</v>
      </c>
      <c r="AE47" s="681">
        <f t="shared" si="6"/>
        <v>0</v>
      </c>
      <c r="AF47" s="682">
        <f t="shared" si="7"/>
        <v>0</v>
      </c>
      <c r="AG47" s="663">
        <f t="shared" si="8"/>
        <v>0</v>
      </c>
      <c r="AH47" s="683">
        <f t="shared" si="9"/>
        <v>0</v>
      </c>
      <c r="AI47" s="548">
        <f>IF($G$71&gt;0,#REF!,)</f>
        <v>0</v>
      </c>
      <c r="AJ47" s="548">
        <f t="shared" si="10"/>
        <v>0</v>
      </c>
      <c r="AK47" s="684">
        <f t="shared" si="11"/>
        <v>0</v>
      </c>
      <c r="AL47" s="549">
        <f t="shared" si="12"/>
        <v>0</v>
      </c>
      <c r="AM47" s="548">
        <f t="shared" si="13"/>
        <v>0</v>
      </c>
      <c r="AP47" s="663">
        <f t="shared" si="15"/>
        <v>0</v>
      </c>
      <c r="AR47" s="548">
        <f t="shared" si="16"/>
        <v>0</v>
      </c>
      <c r="AS47" s="717">
        <f>IF($K$18='T1'!$K$16,0,IF($H$18=$V$12,0,IF($Q$18&gt;0,AS67,)))</f>
        <v>0</v>
      </c>
    </row>
    <row r="48" spans="1:45" ht="13.2" customHeight="1" x14ac:dyDescent="0.25">
      <c r="A48" s="256"/>
      <c r="D48" s="66"/>
      <c r="E48" s="66"/>
      <c r="F48" s="66"/>
      <c r="G48" s="66"/>
      <c r="H48" s="66"/>
      <c r="I48" s="66"/>
      <c r="J48" s="66"/>
      <c r="K48" s="66"/>
      <c r="L48" s="161"/>
      <c r="M48" s="25"/>
      <c r="N48" s="439"/>
      <c r="P48" s="61"/>
      <c r="Q48" s="44"/>
      <c r="S48" s="257"/>
      <c r="W48" s="713">
        <v>396</v>
      </c>
      <c r="X48" s="653"/>
      <c r="Y48" s="537" t="s">
        <v>767</v>
      </c>
      <c r="Z48" s="709">
        <v>36</v>
      </c>
      <c r="AA48" s="710">
        <v>73.150000000000006</v>
      </c>
      <c r="AB48" s="702">
        <v>411952</v>
      </c>
      <c r="AC48" s="718">
        <v>23</v>
      </c>
      <c r="AD48" s="680">
        <f t="shared" si="5"/>
        <v>0</v>
      </c>
      <c r="AE48" s="681">
        <f t="shared" si="6"/>
        <v>0</v>
      </c>
      <c r="AF48" s="682">
        <f t="shared" si="7"/>
        <v>0</v>
      </c>
      <c r="AG48" s="663">
        <f t="shared" si="8"/>
        <v>0</v>
      </c>
      <c r="AH48" s="683">
        <f t="shared" si="9"/>
        <v>0</v>
      </c>
      <c r="AI48" s="548">
        <f>IF($G$71&gt;0,#REF!,)</f>
        <v>0</v>
      </c>
      <c r="AJ48" s="548">
        <f t="shared" si="10"/>
        <v>0</v>
      </c>
      <c r="AK48" s="684">
        <f t="shared" si="11"/>
        <v>0</v>
      </c>
      <c r="AL48" s="549">
        <f t="shared" si="12"/>
        <v>0</v>
      </c>
      <c r="AM48" s="548">
        <f t="shared" si="13"/>
        <v>0</v>
      </c>
      <c r="AP48" s="663">
        <f t="shared" si="15"/>
        <v>0</v>
      </c>
      <c r="AR48" s="549">
        <f t="shared" si="16"/>
        <v>0</v>
      </c>
      <c r="AS48" s="654" t="s">
        <v>336</v>
      </c>
    </row>
    <row r="49" spans="1:45" ht="13.2" customHeight="1" thickBot="1" x14ac:dyDescent="0.3">
      <c r="A49" s="256"/>
      <c r="C49" s="17" t="str">
        <f>'T1'!$Y$1</f>
        <v xml:space="preserve">Calha com 2 Projectores      </v>
      </c>
      <c r="D49" s="66"/>
      <c r="E49" s="66"/>
      <c r="G49" s="17" t="s">
        <v>1136</v>
      </c>
      <c r="H49" s="66"/>
      <c r="I49" s="66"/>
      <c r="J49" s="66"/>
      <c r="K49" s="66"/>
      <c r="L49" s="161" t="s">
        <v>109</v>
      </c>
      <c r="M49" s="192"/>
      <c r="N49" s="435" t="str">
        <f>'T1'!$E$1</f>
        <v>unid.</v>
      </c>
      <c r="P49" s="26">
        <v>42.75</v>
      </c>
      <c r="Q49" s="24">
        <f>SUM(P49*M49)</f>
        <v>0</v>
      </c>
      <c r="S49" s="257"/>
      <c r="W49" s="713">
        <v>405</v>
      </c>
      <c r="X49" s="653"/>
      <c r="Y49" s="537" t="s">
        <v>767</v>
      </c>
      <c r="Z49" s="709">
        <v>54</v>
      </c>
      <c r="AA49" s="710">
        <v>56.05</v>
      </c>
      <c r="AB49" s="702">
        <v>411952</v>
      </c>
      <c r="AC49" s="688">
        <v>24</v>
      </c>
      <c r="AD49" s="680">
        <f t="shared" si="5"/>
        <v>0</v>
      </c>
      <c r="AE49" s="681">
        <f t="shared" si="6"/>
        <v>0</v>
      </c>
      <c r="AF49" s="682">
        <f t="shared" si="7"/>
        <v>0</v>
      </c>
      <c r="AG49" s="663">
        <f t="shared" si="8"/>
        <v>0</v>
      </c>
      <c r="AH49" s="683">
        <f t="shared" si="9"/>
        <v>0</v>
      </c>
      <c r="AI49" s="548">
        <f>IF($G$71&gt;0,#REF!,)</f>
        <v>0</v>
      </c>
      <c r="AJ49" s="548">
        <f t="shared" si="10"/>
        <v>0</v>
      </c>
      <c r="AK49" s="684">
        <f t="shared" si="11"/>
        <v>0</v>
      </c>
      <c r="AL49" s="549">
        <f t="shared" si="12"/>
        <v>0</v>
      </c>
      <c r="AM49" s="548">
        <f t="shared" si="13"/>
        <v>0</v>
      </c>
      <c r="AP49" s="663">
        <f t="shared" si="15"/>
        <v>0</v>
      </c>
      <c r="AR49" s="549">
        <f t="shared" si="16"/>
        <v>0</v>
      </c>
      <c r="AS49" s="719"/>
    </row>
    <row r="50" spans="1:45" ht="13.2" customHeight="1" x14ac:dyDescent="0.25">
      <c r="A50" s="256"/>
      <c r="D50" s="66"/>
      <c r="E50" s="66"/>
      <c r="F50" s="66"/>
      <c r="G50" s="66"/>
      <c r="H50" s="66"/>
      <c r="I50" s="66"/>
      <c r="J50" s="66"/>
      <c r="K50" s="66"/>
      <c r="L50" s="390"/>
      <c r="M50" s="94"/>
      <c r="N50" s="94"/>
      <c r="P50" s="26"/>
      <c r="Q50" s="24"/>
      <c r="S50" s="257"/>
      <c r="W50" s="548">
        <v>414</v>
      </c>
      <c r="X50" s="460"/>
      <c r="Y50" s="537" t="s">
        <v>767</v>
      </c>
      <c r="Z50" s="709">
        <v>72</v>
      </c>
      <c r="AA50" s="710">
        <v>49.4</v>
      </c>
      <c r="AB50" s="702">
        <v>411952</v>
      </c>
      <c r="AC50" s="688">
        <v>25</v>
      </c>
      <c r="AD50" s="680">
        <f t="shared" si="5"/>
        <v>0</v>
      </c>
      <c r="AE50" s="681">
        <f t="shared" si="6"/>
        <v>0</v>
      </c>
      <c r="AF50" s="682">
        <f t="shared" si="7"/>
        <v>0</v>
      </c>
      <c r="AG50" s="663">
        <f t="shared" si="8"/>
        <v>0</v>
      </c>
      <c r="AH50" s="683">
        <f t="shared" si="9"/>
        <v>0</v>
      </c>
      <c r="AI50" s="548">
        <f>IF($G$71&gt;0,#REF!,)</f>
        <v>0</v>
      </c>
      <c r="AJ50" s="548">
        <f t="shared" si="10"/>
        <v>0</v>
      </c>
      <c r="AK50" s="684">
        <f t="shared" si="11"/>
        <v>0</v>
      </c>
      <c r="AL50" s="549">
        <f t="shared" si="12"/>
        <v>0</v>
      </c>
      <c r="AM50" s="548">
        <f t="shared" si="13"/>
        <v>0</v>
      </c>
      <c r="AP50" s="663">
        <f t="shared" si="15"/>
        <v>0</v>
      </c>
      <c r="AR50" s="549">
        <f t="shared" si="16"/>
        <v>0</v>
      </c>
      <c r="AS50" s="719">
        <f>IF($M$54+$M$56+$M$58&gt;0,AS63,)</f>
        <v>0</v>
      </c>
    </row>
    <row r="51" spans="1:45" ht="13.2" customHeight="1" thickBot="1" x14ac:dyDescent="0.3">
      <c r="A51" s="256"/>
      <c r="C51" s="17" t="str">
        <f>'T1'!$Y$56</f>
        <v>Projectores LED</v>
      </c>
      <c r="D51" s="66"/>
      <c r="G51" s="17" t="s">
        <v>1131</v>
      </c>
      <c r="H51" s="66"/>
      <c r="I51" s="66"/>
      <c r="J51" s="66"/>
      <c r="K51" s="66"/>
      <c r="L51" s="163">
        <v>411833</v>
      </c>
      <c r="M51" s="192"/>
      <c r="N51" s="435" t="str">
        <f>'T1'!$E$1</f>
        <v>unid.</v>
      </c>
      <c r="P51" s="26">
        <v>38.5</v>
      </c>
      <c r="Q51" s="24">
        <f>SUM(P51*M51)</f>
        <v>0</v>
      </c>
      <c r="S51" s="257"/>
      <c r="W51" s="548">
        <v>423</v>
      </c>
      <c r="X51" s="460"/>
      <c r="Y51" s="570" t="s">
        <v>767</v>
      </c>
      <c r="Z51" s="714">
        <v>81</v>
      </c>
      <c r="AA51" s="715">
        <v>47.5</v>
      </c>
      <c r="AB51" s="708">
        <v>411952</v>
      </c>
      <c r="AC51" s="688">
        <v>26</v>
      </c>
      <c r="AD51" s="680">
        <f t="shared" si="5"/>
        <v>0</v>
      </c>
      <c r="AE51" s="681">
        <f t="shared" si="6"/>
        <v>0</v>
      </c>
      <c r="AF51" s="682">
        <f t="shared" si="7"/>
        <v>0</v>
      </c>
      <c r="AG51" s="663">
        <f t="shared" si="8"/>
        <v>0</v>
      </c>
      <c r="AH51" s="683">
        <f t="shared" si="9"/>
        <v>0</v>
      </c>
      <c r="AI51" s="548">
        <f>IF($G$71&gt;0,#REF!,)</f>
        <v>0</v>
      </c>
      <c r="AJ51" s="548">
        <f t="shared" si="10"/>
        <v>0</v>
      </c>
      <c r="AK51" s="684">
        <f t="shared" si="11"/>
        <v>0</v>
      </c>
      <c r="AL51" s="549">
        <f t="shared" si="12"/>
        <v>0</v>
      </c>
      <c r="AM51" s="548">
        <f t="shared" si="13"/>
        <v>0</v>
      </c>
      <c r="AP51" s="663">
        <f t="shared" si="15"/>
        <v>0</v>
      </c>
      <c r="AR51" s="549">
        <f t="shared" si="16"/>
        <v>0</v>
      </c>
      <c r="AS51" s="719">
        <f>IF($M$54+$M$56+$M$58&gt;0,AS64,)</f>
        <v>0</v>
      </c>
    </row>
    <row r="52" spans="1:45" ht="13.2" customHeight="1" x14ac:dyDescent="0.25">
      <c r="A52" s="256"/>
      <c r="D52" s="66"/>
      <c r="H52" s="66"/>
      <c r="I52" s="66"/>
      <c r="J52" s="66"/>
      <c r="K52" s="66"/>
      <c r="L52" s="163"/>
      <c r="M52" s="490"/>
      <c r="N52" s="435"/>
      <c r="P52" s="26"/>
      <c r="Q52" s="24"/>
      <c r="S52" s="257"/>
      <c r="W52" s="713">
        <v>432</v>
      </c>
      <c r="X52" s="653"/>
      <c r="Y52" s="537"/>
      <c r="Z52" s="709">
        <v>0</v>
      </c>
      <c r="AA52" s="710"/>
      <c r="AB52" s="702"/>
      <c r="AC52" s="688">
        <v>27</v>
      </c>
      <c r="AD52" s="680">
        <f t="shared" si="5"/>
        <v>0</v>
      </c>
      <c r="AE52" s="681">
        <f t="shared" si="6"/>
        <v>0</v>
      </c>
      <c r="AF52" s="682">
        <f t="shared" si="7"/>
        <v>0</v>
      </c>
      <c r="AG52" s="663">
        <f t="shared" si="8"/>
        <v>0</v>
      </c>
      <c r="AH52" s="683">
        <f t="shared" si="9"/>
        <v>0</v>
      </c>
      <c r="AI52" s="548">
        <f>IF($G$71&gt;0,#REF!,)</f>
        <v>0</v>
      </c>
      <c r="AJ52" s="548">
        <f t="shared" si="10"/>
        <v>0</v>
      </c>
      <c r="AK52" s="684">
        <f t="shared" si="11"/>
        <v>0</v>
      </c>
      <c r="AL52" s="549">
        <f t="shared" si="12"/>
        <v>0</v>
      </c>
      <c r="AM52" s="548">
        <f t="shared" si="13"/>
        <v>0</v>
      </c>
      <c r="AP52" s="663">
        <f t="shared" si="15"/>
        <v>0</v>
      </c>
      <c r="AR52" s="549">
        <f t="shared" si="16"/>
        <v>0</v>
      </c>
      <c r="AS52" s="719">
        <f>IF($M$54+$M$56+$M$58&gt;0,AS65,)</f>
        <v>0</v>
      </c>
    </row>
    <row r="53" spans="1:45" ht="12" x14ac:dyDescent="0.25">
      <c r="A53" s="256"/>
      <c r="B53" s="251" t="s">
        <v>34</v>
      </c>
      <c r="C53" s="80" t="str">
        <f>'T1'!$S$16</f>
        <v xml:space="preserve">ALCATIFA </v>
      </c>
      <c r="D53" s="66"/>
      <c r="E53" s="80" t="str">
        <f>'T1'!$S$36</f>
        <v>(para Stand próprio  -  Fornecimento e Colocação)</v>
      </c>
      <c r="F53" s="66"/>
      <c r="H53" s="66"/>
      <c r="I53" s="66"/>
      <c r="J53" s="66"/>
      <c r="K53" s="94"/>
      <c r="L53" s="162"/>
      <c r="S53" s="257"/>
      <c r="W53" s="713">
        <v>441</v>
      </c>
      <c r="X53" s="653"/>
      <c r="Y53" s="537" t="s">
        <v>796</v>
      </c>
      <c r="Z53" s="665">
        <v>9</v>
      </c>
      <c r="AA53" s="557">
        <v>45</v>
      </c>
      <c r="AB53" s="702">
        <v>412271</v>
      </c>
      <c r="AC53" s="688">
        <v>28</v>
      </c>
      <c r="AD53" s="680">
        <f t="shared" si="5"/>
        <v>0</v>
      </c>
      <c r="AE53" s="681">
        <f t="shared" si="6"/>
        <v>0</v>
      </c>
      <c r="AF53" s="682">
        <f t="shared" si="7"/>
        <v>0</v>
      </c>
      <c r="AG53" s="663">
        <f t="shared" si="8"/>
        <v>0</v>
      </c>
      <c r="AH53" s="683">
        <f t="shared" si="9"/>
        <v>0</v>
      </c>
      <c r="AI53" s="548">
        <f>IF($G$71&gt;0,#REF!,)</f>
        <v>0</v>
      </c>
      <c r="AJ53" s="548">
        <f t="shared" si="10"/>
        <v>0</v>
      </c>
      <c r="AK53" s="684">
        <f t="shared" si="11"/>
        <v>0</v>
      </c>
      <c r="AL53" s="549">
        <f t="shared" si="12"/>
        <v>0</v>
      </c>
      <c r="AM53" s="548">
        <f t="shared" si="13"/>
        <v>0</v>
      </c>
      <c r="AP53" s="663">
        <f t="shared" si="15"/>
        <v>0</v>
      </c>
      <c r="AR53" s="549">
        <f t="shared" si="16"/>
        <v>0</v>
      </c>
      <c r="AS53" s="719">
        <f>IF($M$54+$M$56+$M$58&gt;0,AS66,)</f>
        <v>0</v>
      </c>
    </row>
    <row r="54" spans="1:45" ht="12.6" thickBot="1" x14ac:dyDescent="0.3">
      <c r="A54" s="256"/>
      <c r="C54" s="17" t="str">
        <f>'T1'!$A$23</f>
        <v>no Solo</v>
      </c>
      <c r="H54" s="66"/>
      <c r="I54" s="66"/>
      <c r="J54" s="66"/>
      <c r="K54" s="66"/>
      <c r="L54" s="161" t="s">
        <v>70</v>
      </c>
      <c r="M54" s="190"/>
      <c r="N54" s="251" t="s">
        <v>9</v>
      </c>
      <c r="P54" s="62">
        <v>4.3499999999999996</v>
      </c>
      <c r="Q54" s="24">
        <f>SUM(P54*M54)</f>
        <v>0</v>
      </c>
      <c r="S54" s="257"/>
      <c r="W54" s="548">
        <v>450</v>
      </c>
      <c r="X54" s="460"/>
      <c r="Y54" s="537" t="s">
        <v>796</v>
      </c>
      <c r="Z54" s="665">
        <v>18</v>
      </c>
      <c r="AA54" s="557">
        <v>47</v>
      </c>
      <c r="AB54" s="702">
        <v>412271</v>
      </c>
      <c r="AC54" s="688">
        <v>29</v>
      </c>
      <c r="AD54" s="680">
        <f t="shared" si="5"/>
        <v>0</v>
      </c>
      <c r="AE54" s="681">
        <f t="shared" si="6"/>
        <v>0</v>
      </c>
      <c r="AF54" s="682">
        <f t="shared" si="7"/>
        <v>0</v>
      </c>
      <c r="AG54" s="663">
        <f t="shared" si="8"/>
        <v>0</v>
      </c>
      <c r="AH54" s="683">
        <f t="shared" si="9"/>
        <v>0</v>
      </c>
      <c r="AI54" s="548">
        <f>IF($G$71&gt;0,#REF!,)</f>
        <v>0</v>
      </c>
      <c r="AJ54" s="548">
        <f t="shared" si="10"/>
        <v>0</v>
      </c>
      <c r="AK54" s="684">
        <f t="shared" si="11"/>
        <v>0</v>
      </c>
      <c r="AL54" s="549">
        <f t="shared" si="12"/>
        <v>0</v>
      </c>
      <c r="AM54" s="548">
        <f t="shared" si="13"/>
        <v>0</v>
      </c>
      <c r="AP54" s="663">
        <f t="shared" si="15"/>
        <v>0</v>
      </c>
      <c r="AR54" s="549">
        <f t="shared" si="16"/>
        <v>0</v>
      </c>
      <c r="AS54" s="719">
        <f>IF($M$54+$M$56+$M$58&gt;0,AS67,)</f>
        <v>0</v>
      </c>
    </row>
    <row r="55" spans="1:45" ht="12" x14ac:dyDescent="0.25">
      <c r="A55" s="256"/>
      <c r="D55" s="66"/>
      <c r="E55" s="66"/>
      <c r="F55" s="66"/>
      <c r="G55" s="66"/>
      <c r="H55" s="66"/>
      <c r="I55" s="66"/>
      <c r="J55" s="66"/>
      <c r="K55" s="66"/>
      <c r="L55" s="380"/>
      <c r="M55" s="149"/>
      <c r="N55" s="440"/>
      <c r="S55" s="257"/>
      <c r="W55" s="548">
        <v>459</v>
      </c>
      <c r="X55" s="460"/>
      <c r="Y55" s="537" t="s">
        <v>796</v>
      </c>
      <c r="Z55" s="665">
        <v>27</v>
      </c>
      <c r="AA55" s="557">
        <v>43</v>
      </c>
      <c r="AB55" s="702">
        <v>412271</v>
      </c>
      <c r="AC55" s="688">
        <v>30</v>
      </c>
      <c r="AD55" s="680">
        <f t="shared" si="5"/>
        <v>0</v>
      </c>
      <c r="AE55" s="681">
        <f t="shared" si="6"/>
        <v>0</v>
      </c>
      <c r="AF55" s="682">
        <f t="shared" si="7"/>
        <v>0</v>
      </c>
      <c r="AG55" s="663">
        <f t="shared" si="8"/>
        <v>0</v>
      </c>
      <c r="AH55" s="683">
        <f t="shared" si="9"/>
        <v>0</v>
      </c>
      <c r="AI55" s="548">
        <f>IF($G$71&gt;0,#REF!,)</f>
        <v>0</v>
      </c>
      <c r="AJ55" s="548">
        <f t="shared" si="10"/>
        <v>0</v>
      </c>
      <c r="AK55" s="684">
        <f t="shared" si="11"/>
        <v>0</v>
      </c>
      <c r="AL55" s="549">
        <f t="shared" si="12"/>
        <v>0</v>
      </c>
      <c r="AM55" s="548">
        <f t="shared" si="13"/>
        <v>0</v>
      </c>
      <c r="AP55" s="663">
        <f t="shared" si="15"/>
        <v>0</v>
      </c>
      <c r="AR55" s="548">
        <f t="shared" si="16"/>
        <v>0</v>
      </c>
    </row>
    <row r="56" spans="1:45" ht="12.6" thickBot="1" x14ac:dyDescent="0.3">
      <c r="A56" s="256"/>
      <c r="C56" s="17" t="str">
        <f>'T1'!$A$24</f>
        <v>no Estrado do Expositor</v>
      </c>
      <c r="D56" s="66"/>
      <c r="E56" s="66"/>
      <c r="F56" s="66"/>
      <c r="G56" s="250"/>
      <c r="H56" s="250"/>
      <c r="I56" s="250"/>
      <c r="J56" s="250"/>
      <c r="K56" s="66"/>
      <c r="L56" s="163">
        <v>406657</v>
      </c>
      <c r="M56" s="190"/>
      <c r="N56" s="251" t="s">
        <v>9</v>
      </c>
      <c r="P56" s="62">
        <v>4.87</v>
      </c>
      <c r="Q56" s="24">
        <f>SUM(P56*M56)</f>
        <v>0</v>
      </c>
      <c r="S56" s="257"/>
      <c r="W56" s="713">
        <v>468</v>
      </c>
      <c r="X56" s="653"/>
      <c r="Y56" s="570" t="s">
        <v>796</v>
      </c>
      <c r="Z56" s="657">
        <v>36</v>
      </c>
      <c r="AA56" s="578">
        <v>38</v>
      </c>
      <c r="AB56" s="708">
        <v>412271</v>
      </c>
      <c r="AC56" s="688">
        <v>31</v>
      </c>
      <c r="AD56" s="680">
        <f t="shared" si="5"/>
        <v>0</v>
      </c>
      <c r="AE56" s="681">
        <f t="shared" si="6"/>
        <v>0</v>
      </c>
      <c r="AF56" s="682">
        <f t="shared" si="7"/>
        <v>0</v>
      </c>
      <c r="AG56" s="663">
        <f t="shared" si="8"/>
        <v>0</v>
      </c>
      <c r="AH56" s="683">
        <f t="shared" si="9"/>
        <v>0</v>
      </c>
      <c r="AI56" s="548">
        <f>IF($G$71&gt;0,#REF!,)</f>
        <v>0</v>
      </c>
      <c r="AJ56" s="548">
        <f t="shared" si="10"/>
        <v>0</v>
      </c>
      <c r="AK56" s="684">
        <f t="shared" si="11"/>
        <v>0</v>
      </c>
      <c r="AL56" s="549">
        <f t="shared" si="12"/>
        <v>0</v>
      </c>
      <c r="AM56" s="548">
        <f t="shared" si="13"/>
        <v>0</v>
      </c>
      <c r="AP56" s="663">
        <f t="shared" si="15"/>
        <v>0</v>
      </c>
      <c r="AR56" s="549">
        <f t="shared" si="16"/>
        <v>0</v>
      </c>
      <c r="AS56" s="654" t="s">
        <v>337</v>
      </c>
    </row>
    <row r="57" spans="1:45" ht="12" x14ac:dyDescent="0.25">
      <c r="A57" s="256"/>
      <c r="D57" s="66"/>
      <c r="E57" s="66"/>
      <c r="F57" s="66"/>
      <c r="G57" s="250"/>
      <c r="H57" s="250"/>
      <c r="I57" s="250"/>
      <c r="J57" s="250"/>
      <c r="K57" s="66"/>
      <c r="L57" s="381"/>
      <c r="M57" s="146"/>
      <c r="N57" s="440"/>
      <c r="S57" s="257"/>
      <c r="W57" s="713">
        <v>477</v>
      </c>
      <c r="X57" s="653"/>
      <c r="Y57" s="537"/>
      <c r="Z57" s="665">
        <v>0</v>
      </c>
      <c r="AA57" s="557"/>
      <c r="AB57" s="702"/>
      <c r="AC57" s="688">
        <v>32</v>
      </c>
      <c r="AD57" s="680">
        <f t="shared" si="5"/>
        <v>0</v>
      </c>
      <c r="AE57" s="681">
        <f t="shared" si="6"/>
        <v>0</v>
      </c>
      <c r="AF57" s="682">
        <f t="shared" si="7"/>
        <v>0</v>
      </c>
      <c r="AG57" s="663">
        <f t="shared" si="8"/>
        <v>0</v>
      </c>
      <c r="AH57" s="683">
        <f t="shared" si="9"/>
        <v>0</v>
      </c>
      <c r="AI57" s="548">
        <f>IF($G$71&gt;0,#REF!,)</f>
        <v>0</v>
      </c>
      <c r="AJ57" s="548">
        <f t="shared" si="10"/>
        <v>0</v>
      </c>
      <c r="AK57" s="684">
        <f t="shared" si="11"/>
        <v>0</v>
      </c>
      <c r="AL57" s="549">
        <f t="shared" si="12"/>
        <v>0</v>
      </c>
      <c r="AM57" s="548">
        <f t="shared" si="13"/>
        <v>0</v>
      </c>
      <c r="AP57" s="663">
        <f t="shared" si="15"/>
        <v>0</v>
      </c>
      <c r="AR57" s="549">
        <f t="shared" si="16"/>
        <v>0</v>
      </c>
      <c r="AS57" s="719"/>
    </row>
    <row r="58" spans="1:45" ht="12.6" thickBot="1" x14ac:dyDescent="0.3">
      <c r="A58" s="256"/>
      <c r="C58" s="17" t="str">
        <f>'T1'!$A$25</f>
        <v>com Recortes de Côr</v>
      </c>
      <c r="D58" s="66"/>
      <c r="E58" s="66"/>
      <c r="F58" s="66"/>
      <c r="G58" s="250"/>
      <c r="H58" s="250"/>
      <c r="I58" s="250"/>
      <c r="J58" s="250"/>
      <c r="K58" s="66"/>
      <c r="L58" s="163">
        <v>406658</v>
      </c>
      <c r="M58" s="190"/>
      <c r="N58" s="251" t="s">
        <v>9</v>
      </c>
      <c r="P58" s="62">
        <v>5.43</v>
      </c>
      <c r="Q58" s="24">
        <f>SUM(P58*M58)</f>
        <v>0</v>
      </c>
      <c r="S58" s="257"/>
      <c r="W58" s="548">
        <v>486</v>
      </c>
      <c r="X58" s="460"/>
      <c r="Y58" s="537" t="s">
        <v>1118</v>
      </c>
      <c r="Z58" s="665">
        <v>18</v>
      </c>
      <c r="AA58" s="720">
        <v>75</v>
      </c>
      <c r="AB58" s="624">
        <v>412030</v>
      </c>
      <c r="AC58" s="688">
        <v>33</v>
      </c>
      <c r="AD58" s="680">
        <f t="shared" ref="AD58:AD75" si="17">IF($K$86&gt;0,AC58,)</f>
        <v>0</v>
      </c>
      <c r="AE58" s="681">
        <f t="shared" ref="AE58:AE89" si="18">IF($H$18&gt;0,W37,)</f>
        <v>0</v>
      </c>
      <c r="AF58" s="682">
        <f t="shared" ref="AF58:AF75" si="19">IF($H$18&gt;0,AC58,)</f>
        <v>0</v>
      </c>
      <c r="AG58" s="663">
        <f t="shared" ref="AG58:AG89" si="20">IF($I$138&gt;0,AC65,)</f>
        <v>0</v>
      </c>
      <c r="AH58" s="683">
        <f t="shared" ref="AH58:AH75" si="21">IF($I$144&gt;0,AC58,)</f>
        <v>0</v>
      </c>
      <c r="AI58" s="548">
        <f>IF($G$71&gt;0,#REF!,)</f>
        <v>0</v>
      </c>
      <c r="AJ58" s="548">
        <f t="shared" ref="AJ58:AJ89" si="22">IF($G$73&gt;0,W37,)</f>
        <v>0</v>
      </c>
      <c r="AK58" s="684">
        <f t="shared" ref="AK58:AK75" si="23">IF($K$18&gt;0,AC58,)</f>
        <v>0</v>
      </c>
      <c r="AL58" s="549">
        <f t="shared" ref="AL58:AL75" si="24">IF($I$111&gt;0,AC58,)</f>
        <v>0</v>
      </c>
      <c r="AM58" s="548">
        <f t="shared" ref="AM58:AM75" si="25">IF($I$123&gt;0,AC58,)</f>
        <v>0</v>
      </c>
      <c r="AP58" s="663">
        <f t="shared" si="15"/>
        <v>0</v>
      </c>
      <c r="AR58" s="549">
        <f t="shared" si="16"/>
        <v>0</v>
      </c>
      <c r="AS58" s="719">
        <f>IF($M$73&gt;0,AS63,)</f>
        <v>0</v>
      </c>
    </row>
    <row r="59" spans="1:45" ht="12" x14ac:dyDescent="0.25">
      <c r="A59" s="256"/>
      <c r="D59" s="66"/>
      <c r="E59" s="66"/>
      <c r="F59" s="66"/>
      <c r="G59" s="250"/>
      <c r="H59" s="250"/>
      <c r="I59" s="250"/>
      <c r="J59" s="250"/>
      <c r="K59" s="66"/>
      <c r="L59" s="381"/>
      <c r="M59" s="146"/>
      <c r="N59" s="440"/>
      <c r="S59" s="257"/>
      <c r="W59" s="548">
        <v>495</v>
      </c>
      <c r="X59" s="460"/>
      <c r="Y59" s="537" t="s">
        <v>1118</v>
      </c>
      <c r="Z59" s="665">
        <v>27</v>
      </c>
      <c r="AA59" s="720">
        <v>52</v>
      </c>
      <c r="AB59" s="624">
        <v>412030</v>
      </c>
      <c r="AC59" s="688">
        <v>34</v>
      </c>
      <c r="AD59" s="680">
        <f t="shared" si="17"/>
        <v>0</v>
      </c>
      <c r="AE59" s="681">
        <f t="shared" si="18"/>
        <v>0</v>
      </c>
      <c r="AF59" s="682">
        <f t="shared" si="19"/>
        <v>0</v>
      </c>
      <c r="AG59" s="663">
        <f t="shared" si="20"/>
        <v>0</v>
      </c>
      <c r="AH59" s="683">
        <f t="shared" si="21"/>
        <v>0</v>
      </c>
      <c r="AI59" s="548">
        <f>IF($G$71&gt;0,#REF!,)</f>
        <v>0</v>
      </c>
      <c r="AJ59" s="548">
        <f t="shared" si="22"/>
        <v>0</v>
      </c>
      <c r="AK59" s="684">
        <f t="shared" si="23"/>
        <v>0</v>
      </c>
      <c r="AL59" s="549">
        <f t="shared" si="24"/>
        <v>0</v>
      </c>
      <c r="AM59" s="548">
        <f t="shared" si="25"/>
        <v>0</v>
      </c>
      <c r="AP59" s="663">
        <f t="shared" si="15"/>
        <v>0</v>
      </c>
      <c r="AR59" s="549">
        <f t="shared" si="16"/>
        <v>0</v>
      </c>
      <c r="AS59" s="719">
        <f>IF($M$73&gt;0,AS64,)</f>
        <v>0</v>
      </c>
    </row>
    <row r="60" spans="1:45" ht="13.2" customHeight="1" thickBot="1" x14ac:dyDescent="0.3">
      <c r="A60" s="256"/>
      <c r="C60" s="17" t="str">
        <f>'T1'!$A$26</f>
        <v>com Impressão de Logotipo</v>
      </c>
      <c r="D60" s="66"/>
      <c r="E60" s="66"/>
      <c r="F60" s="66"/>
      <c r="G60" s="250"/>
      <c r="H60" s="250"/>
      <c r="I60" s="250"/>
      <c r="J60" s="250"/>
      <c r="K60" s="66"/>
      <c r="L60" s="163">
        <v>406659</v>
      </c>
      <c r="M60" s="190"/>
      <c r="N60" s="251" t="s">
        <v>9</v>
      </c>
      <c r="O60" s="791" t="str">
        <f>'T1'!$K$21</f>
        <v>(Sob Orçamento)</v>
      </c>
      <c r="P60" s="791"/>
      <c r="Q60" s="31"/>
      <c r="S60" s="257"/>
      <c r="W60" s="713">
        <v>504</v>
      </c>
      <c r="X60" s="653"/>
      <c r="Y60" s="537" t="s">
        <v>1118</v>
      </c>
      <c r="Z60" s="665">
        <v>36</v>
      </c>
      <c r="AA60" s="720">
        <v>40.5</v>
      </c>
      <c r="AB60" s="624">
        <v>412030</v>
      </c>
      <c r="AC60" s="688">
        <v>35</v>
      </c>
      <c r="AD60" s="680">
        <f t="shared" si="17"/>
        <v>0</v>
      </c>
      <c r="AE60" s="681">
        <f t="shared" si="18"/>
        <v>0</v>
      </c>
      <c r="AF60" s="682">
        <f t="shared" si="19"/>
        <v>0</v>
      </c>
      <c r="AG60" s="663">
        <f t="shared" si="20"/>
        <v>0</v>
      </c>
      <c r="AH60" s="683">
        <f t="shared" si="21"/>
        <v>0</v>
      </c>
      <c r="AI60" s="548">
        <f>IF($G$71&gt;0,#REF!,)</f>
        <v>0</v>
      </c>
      <c r="AJ60" s="548">
        <f t="shared" si="22"/>
        <v>0</v>
      </c>
      <c r="AK60" s="684">
        <f t="shared" si="23"/>
        <v>0</v>
      </c>
      <c r="AL60" s="549">
        <f t="shared" si="24"/>
        <v>0</v>
      </c>
      <c r="AM60" s="548">
        <f t="shared" si="25"/>
        <v>0</v>
      </c>
      <c r="AP60" s="663">
        <f t="shared" si="15"/>
        <v>0</v>
      </c>
      <c r="AR60" s="549">
        <f t="shared" si="16"/>
        <v>0</v>
      </c>
      <c r="AS60" s="719">
        <f>IF($M$73&gt;0,AS65,)</f>
        <v>0</v>
      </c>
    </row>
    <row r="61" spans="1:45" ht="12.6" thickBot="1" x14ac:dyDescent="0.3">
      <c r="A61" s="256"/>
      <c r="D61" s="66"/>
      <c r="E61" s="793" t="str">
        <f>'T1'!$O$6</f>
        <v>Cor da Alcatifa:</v>
      </c>
      <c r="F61" s="793"/>
      <c r="G61" s="793"/>
      <c r="H61" s="797"/>
      <c r="I61" s="798"/>
      <c r="J61" s="799"/>
      <c r="L61" s="148"/>
      <c r="M61" s="148"/>
      <c r="N61" s="148"/>
      <c r="P61" s="248"/>
      <c r="Q61" s="248"/>
      <c r="S61" s="257"/>
      <c r="W61" s="713">
        <v>513</v>
      </c>
      <c r="X61" s="653"/>
      <c r="Y61" s="570" t="s">
        <v>1118</v>
      </c>
      <c r="Z61" s="657">
        <v>45</v>
      </c>
      <c r="AA61" s="721">
        <v>34</v>
      </c>
      <c r="AB61" s="648">
        <v>412030</v>
      </c>
      <c r="AC61" s="688">
        <v>36</v>
      </c>
      <c r="AD61" s="680">
        <f t="shared" si="17"/>
        <v>0</v>
      </c>
      <c r="AE61" s="681">
        <f t="shared" si="18"/>
        <v>0</v>
      </c>
      <c r="AF61" s="682">
        <f t="shared" si="19"/>
        <v>0</v>
      </c>
      <c r="AG61" s="663">
        <f t="shared" si="20"/>
        <v>0</v>
      </c>
      <c r="AH61" s="683">
        <f t="shared" si="21"/>
        <v>0</v>
      </c>
      <c r="AI61" s="548">
        <f>IF($G$71&gt;0,#REF!,)</f>
        <v>0</v>
      </c>
      <c r="AJ61" s="548">
        <f t="shared" si="22"/>
        <v>0</v>
      </c>
      <c r="AK61" s="684">
        <f t="shared" si="23"/>
        <v>0</v>
      </c>
      <c r="AL61" s="549">
        <f t="shared" si="24"/>
        <v>0</v>
      </c>
      <c r="AM61" s="548">
        <f t="shared" si="25"/>
        <v>0</v>
      </c>
      <c r="AP61" s="663">
        <f t="shared" si="15"/>
        <v>0</v>
      </c>
      <c r="AR61" s="549">
        <f t="shared" si="16"/>
        <v>0</v>
      </c>
      <c r="AS61" s="719">
        <f>IF($M$73&gt;0,AS66,)</f>
        <v>0</v>
      </c>
    </row>
    <row r="62" spans="1:45" ht="13.2" customHeight="1" x14ac:dyDescent="0.25">
      <c r="A62" s="256"/>
      <c r="D62" s="66"/>
      <c r="E62" s="248"/>
      <c r="F62" s="248"/>
      <c r="G62" s="248"/>
      <c r="H62" s="795">
        <f>IF($H$61=$AS$67,'T1'!$K$21,IF($H$61&gt;0,0,IF($M$54+$M$56+$M$58,$U$11,)))</f>
        <v>0</v>
      </c>
      <c r="I62" s="795"/>
      <c r="J62" s="795"/>
      <c r="L62" s="148"/>
      <c r="M62" s="148"/>
      <c r="N62" s="148"/>
      <c r="P62" s="248"/>
      <c r="Q62" s="248"/>
      <c r="S62" s="257"/>
      <c r="W62" s="548">
        <v>522</v>
      </c>
      <c r="AA62" s="5"/>
      <c r="AB62" s="722"/>
      <c r="AC62" s="723">
        <v>37</v>
      </c>
      <c r="AD62" s="680">
        <f t="shared" si="17"/>
        <v>0</v>
      </c>
      <c r="AE62" s="681">
        <f t="shared" si="18"/>
        <v>0</v>
      </c>
      <c r="AF62" s="682">
        <f t="shared" si="19"/>
        <v>0</v>
      </c>
      <c r="AG62" s="663">
        <f t="shared" si="20"/>
        <v>0</v>
      </c>
      <c r="AH62" s="683">
        <f t="shared" si="21"/>
        <v>0</v>
      </c>
      <c r="AI62" s="548">
        <f>IF($G$71&gt;0,#REF!,)</f>
        <v>0</v>
      </c>
      <c r="AJ62" s="548">
        <f t="shared" si="22"/>
        <v>0</v>
      </c>
      <c r="AK62" s="684">
        <f t="shared" si="23"/>
        <v>0</v>
      </c>
      <c r="AL62" s="549">
        <f t="shared" si="24"/>
        <v>0</v>
      </c>
      <c r="AM62" s="548">
        <f t="shared" si="25"/>
        <v>0</v>
      </c>
      <c r="AP62" s="663">
        <f t="shared" si="15"/>
        <v>0</v>
      </c>
      <c r="AR62" s="549">
        <f t="shared" si="16"/>
        <v>0</v>
      </c>
      <c r="AS62" s="724">
        <f>IF($M$73&gt;0,AS67,)</f>
        <v>0</v>
      </c>
    </row>
    <row r="63" spans="1:45" ht="12.6" thickBot="1" x14ac:dyDescent="0.3">
      <c r="A63" s="256"/>
      <c r="D63" s="66"/>
      <c r="E63" s="66"/>
      <c r="F63" s="66"/>
      <c r="G63" s="66"/>
      <c r="H63" s="66"/>
      <c r="I63" s="66"/>
      <c r="J63" s="66"/>
      <c r="K63" s="66"/>
      <c r="L63" s="162"/>
      <c r="M63" s="94"/>
      <c r="N63" s="94"/>
      <c r="P63" s="26"/>
      <c r="Q63" s="24"/>
      <c r="S63" s="257"/>
      <c r="W63" s="548">
        <v>531</v>
      </c>
      <c r="X63" s="460"/>
      <c r="Y63" s="725" t="s">
        <v>389</v>
      </c>
      <c r="Z63" s="505"/>
      <c r="AA63" s="726">
        <f>VLOOKUP($I$144,Y64:AA67,3,)</f>
        <v>0</v>
      </c>
      <c r="AB63" s="726">
        <f>VLOOKUP($I$144,Y64:AB67,4,)</f>
        <v>0</v>
      </c>
      <c r="AC63" s="723">
        <v>38</v>
      </c>
      <c r="AD63" s="680">
        <f t="shared" si="17"/>
        <v>0</v>
      </c>
      <c r="AE63" s="681">
        <f t="shared" si="18"/>
        <v>0</v>
      </c>
      <c r="AF63" s="682">
        <f t="shared" si="19"/>
        <v>0</v>
      </c>
      <c r="AG63" s="663">
        <f t="shared" si="20"/>
        <v>0</v>
      </c>
      <c r="AH63" s="683">
        <f t="shared" si="21"/>
        <v>0</v>
      </c>
      <c r="AI63" s="548">
        <f>IF($G$71&gt;0,#REF!,)</f>
        <v>0</v>
      </c>
      <c r="AJ63" s="548">
        <f t="shared" si="22"/>
        <v>0</v>
      </c>
      <c r="AK63" s="684">
        <f t="shared" si="23"/>
        <v>0</v>
      </c>
      <c r="AL63" s="549">
        <f t="shared" si="24"/>
        <v>0</v>
      </c>
      <c r="AM63" s="548">
        <f t="shared" si="25"/>
        <v>0</v>
      </c>
      <c r="AP63" s="663">
        <f t="shared" si="15"/>
        <v>0</v>
      </c>
      <c r="AR63" s="548">
        <f t="shared" si="16"/>
        <v>0</v>
      </c>
      <c r="AS63" s="563" t="str">
        <f>IF($L$1="Português",AS68,IF($L$1="English",AS73,IF($L$1="Español",AS78,IF($L$1="Français",AS83,))))</f>
        <v>VERMELHO</v>
      </c>
    </row>
    <row r="64" spans="1:45" ht="12" x14ac:dyDescent="0.25">
      <c r="A64" s="258"/>
      <c r="B64" s="228"/>
      <c r="C64" s="228"/>
      <c r="D64" s="229"/>
      <c r="E64" s="229"/>
      <c r="F64" s="229"/>
      <c r="G64" s="229"/>
      <c r="H64" s="229"/>
      <c r="I64" s="229"/>
      <c r="J64" s="229"/>
      <c r="K64" s="229"/>
      <c r="L64" s="231"/>
      <c r="M64" s="229"/>
      <c r="N64" s="229"/>
      <c r="O64" s="229"/>
      <c r="P64" s="229"/>
      <c r="Q64" s="230" t="s">
        <v>470</v>
      </c>
      <c r="R64" s="229"/>
      <c r="S64" s="259"/>
      <c r="U64" s="592"/>
      <c r="W64" s="713">
        <v>540</v>
      </c>
      <c r="X64" s="653"/>
      <c r="Y64" s="700">
        <v>0</v>
      </c>
      <c r="Z64" s="727"/>
      <c r="AA64" s="512"/>
      <c r="AB64" s="512"/>
      <c r="AC64" s="723">
        <v>39</v>
      </c>
      <c r="AD64" s="680">
        <f t="shared" si="17"/>
        <v>0</v>
      </c>
      <c r="AE64" s="681">
        <f t="shared" si="18"/>
        <v>0</v>
      </c>
      <c r="AF64" s="682">
        <f t="shared" si="19"/>
        <v>0</v>
      </c>
      <c r="AG64" s="663">
        <f t="shared" si="20"/>
        <v>0</v>
      </c>
      <c r="AH64" s="683">
        <f t="shared" si="21"/>
        <v>0</v>
      </c>
      <c r="AI64" s="548">
        <f>IF($G$71&gt;0,#REF!,)</f>
        <v>0</v>
      </c>
      <c r="AJ64" s="548">
        <f t="shared" si="22"/>
        <v>0</v>
      </c>
      <c r="AK64" s="684">
        <f t="shared" si="23"/>
        <v>0</v>
      </c>
      <c r="AL64" s="549">
        <f t="shared" si="24"/>
        <v>0</v>
      </c>
      <c r="AM64" s="548">
        <f t="shared" si="25"/>
        <v>0</v>
      </c>
      <c r="AP64" s="663">
        <f t="shared" si="15"/>
        <v>0</v>
      </c>
      <c r="AR64" s="548">
        <f t="shared" si="16"/>
        <v>0</v>
      </c>
      <c r="AS64" s="566" t="str">
        <f>IF($L$1="Português",AS69,IF($L$1="English",AS74,IF($L$1="Español",AS79,IF($L$1="Français",AS84,))))</f>
        <v>VERDE</v>
      </c>
    </row>
    <row r="65" spans="1:45" ht="12" x14ac:dyDescent="0.25">
      <c r="A65" s="256"/>
      <c r="C65" s="17" t="str">
        <f>'T1'!$I$16</f>
        <v>Nome da Empresa Expositora:</v>
      </c>
      <c r="D65" s="66"/>
      <c r="G65" s="794">
        <f>$F$11</f>
        <v>0</v>
      </c>
      <c r="H65" s="794"/>
      <c r="I65" s="794"/>
      <c r="J65" s="794"/>
      <c r="K65" s="794"/>
      <c r="L65" s="794"/>
      <c r="M65" s="794"/>
      <c r="N65" s="794"/>
      <c r="O65" s="794"/>
      <c r="P65" s="794"/>
      <c r="Q65" s="794"/>
      <c r="R65" s="66"/>
      <c r="S65" s="257"/>
      <c r="W65" s="713">
        <v>549</v>
      </c>
      <c r="X65" s="653"/>
      <c r="Y65" s="665" t="s">
        <v>662</v>
      </c>
      <c r="Z65" s="612">
        <f>IF($H$18&gt;0,Y65,)</f>
        <v>0</v>
      </c>
      <c r="AA65" s="565">
        <v>386.75</v>
      </c>
      <c r="AB65" s="250">
        <v>405400</v>
      </c>
      <c r="AC65" s="723">
        <v>40</v>
      </c>
      <c r="AD65" s="680">
        <f t="shared" si="17"/>
        <v>0</v>
      </c>
      <c r="AE65" s="681">
        <f t="shared" si="18"/>
        <v>0</v>
      </c>
      <c r="AF65" s="682">
        <f t="shared" si="19"/>
        <v>0</v>
      </c>
      <c r="AG65" s="663">
        <f t="shared" si="20"/>
        <v>0</v>
      </c>
      <c r="AH65" s="683">
        <f t="shared" si="21"/>
        <v>0</v>
      </c>
      <c r="AI65" s="548">
        <f>IF($G$71&gt;0,#REF!,)</f>
        <v>0</v>
      </c>
      <c r="AJ65" s="548">
        <f t="shared" si="22"/>
        <v>0</v>
      </c>
      <c r="AK65" s="684">
        <f t="shared" si="23"/>
        <v>0</v>
      </c>
      <c r="AL65" s="549">
        <f t="shared" si="24"/>
        <v>0</v>
      </c>
      <c r="AM65" s="548">
        <f t="shared" si="25"/>
        <v>0</v>
      </c>
      <c r="AP65" s="663">
        <f t="shared" si="15"/>
        <v>0</v>
      </c>
      <c r="AR65" s="548">
        <f t="shared" si="16"/>
        <v>0</v>
      </c>
      <c r="AS65" s="566" t="str">
        <f>IF($L$1="Português",AS70,IF($L$1="English",AS75,IF($L$1="Español",AS80,IF($L$1="Français",AS85,))))</f>
        <v>AZUL</v>
      </c>
    </row>
    <row r="66" spans="1:45" ht="10.8" customHeight="1" thickBot="1" x14ac:dyDescent="0.3">
      <c r="A66" s="260"/>
      <c r="B66" s="227"/>
      <c r="C66" s="227"/>
      <c r="D66" s="227"/>
      <c r="E66" s="227"/>
      <c r="F66" s="227"/>
      <c r="G66" s="227"/>
      <c r="H66" s="227"/>
      <c r="I66" s="227"/>
      <c r="J66" s="227"/>
      <c r="K66" s="227"/>
      <c r="L66" s="227"/>
      <c r="M66" s="227"/>
      <c r="N66" s="227"/>
      <c r="O66" s="227"/>
      <c r="P66" s="227"/>
      <c r="Q66" s="227"/>
      <c r="R66" s="227"/>
      <c r="S66" s="261"/>
      <c r="W66" s="548">
        <v>558</v>
      </c>
      <c r="X66" s="460"/>
      <c r="Y66" s="665" t="s">
        <v>663</v>
      </c>
      <c r="Z66" s="612">
        <f>IF($H$18&gt;0,Y66,)</f>
        <v>0</v>
      </c>
      <c r="AA66" s="565">
        <v>723.24</v>
      </c>
      <c r="AB66" s="250">
        <v>405401</v>
      </c>
      <c r="AC66" s="723">
        <v>41</v>
      </c>
      <c r="AD66" s="680">
        <f t="shared" si="17"/>
        <v>0</v>
      </c>
      <c r="AE66" s="681">
        <f t="shared" si="18"/>
        <v>0</v>
      </c>
      <c r="AF66" s="682">
        <f t="shared" si="19"/>
        <v>0</v>
      </c>
      <c r="AG66" s="663">
        <f t="shared" si="20"/>
        <v>0</v>
      </c>
      <c r="AH66" s="683">
        <f t="shared" si="21"/>
        <v>0</v>
      </c>
      <c r="AI66" s="548">
        <f>IF($G$71&gt;0,#REF!,)</f>
        <v>0</v>
      </c>
      <c r="AJ66" s="548">
        <f t="shared" si="22"/>
        <v>0</v>
      </c>
      <c r="AK66" s="684">
        <f t="shared" si="23"/>
        <v>0</v>
      </c>
      <c r="AL66" s="549">
        <f t="shared" si="24"/>
        <v>0</v>
      </c>
      <c r="AM66" s="548">
        <f t="shared" si="25"/>
        <v>0</v>
      </c>
      <c r="AP66" s="663">
        <f t="shared" si="15"/>
        <v>0</v>
      </c>
      <c r="AR66" s="548">
        <f t="shared" si="16"/>
        <v>0</v>
      </c>
      <c r="AS66" s="566" t="str">
        <f>IF($L$1="Português",AS71,IF($L$1="English",AS76,IF($L$1="Español",AS81,IF($L$1="Français",AS86,))))</f>
        <v>CINZA</v>
      </c>
    </row>
    <row r="67" spans="1:45" ht="12" x14ac:dyDescent="0.25">
      <c r="A67" s="256"/>
      <c r="D67" s="66"/>
      <c r="S67" s="257"/>
      <c r="U67" s="704"/>
      <c r="W67" s="548">
        <v>567</v>
      </c>
      <c r="X67" s="460"/>
      <c r="Y67" s="728" t="s">
        <v>664</v>
      </c>
      <c r="Z67" s="612">
        <f>IF($H$18&gt;0,Y67,)</f>
        <v>0</v>
      </c>
      <c r="AA67" s="627">
        <v>1025.55</v>
      </c>
      <c r="AB67" s="729">
        <v>404354</v>
      </c>
      <c r="AC67" s="688">
        <v>42</v>
      </c>
      <c r="AD67" s="680">
        <f t="shared" si="17"/>
        <v>0</v>
      </c>
      <c r="AE67" s="681">
        <f t="shared" si="18"/>
        <v>0</v>
      </c>
      <c r="AF67" s="682">
        <f t="shared" si="19"/>
        <v>0</v>
      </c>
      <c r="AG67" s="663">
        <f t="shared" si="20"/>
        <v>0</v>
      </c>
      <c r="AH67" s="683">
        <f t="shared" si="21"/>
        <v>0</v>
      </c>
      <c r="AI67" s="548">
        <f>IF($G$71&gt;0,#REF!,)</f>
        <v>0</v>
      </c>
      <c r="AJ67" s="548">
        <f t="shared" si="22"/>
        <v>0</v>
      </c>
      <c r="AK67" s="684">
        <f t="shared" si="23"/>
        <v>0</v>
      </c>
      <c r="AL67" s="549">
        <f t="shared" si="24"/>
        <v>0</v>
      </c>
      <c r="AM67" s="548">
        <f t="shared" si="25"/>
        <v>0</v>
      </c>
      <c r="AP67" s="663">
        <f t="shared" ref="AP67:AP79" si="26">IF($J$132&gt;0,AC93,)</f>
        <v>0</v>
      </c>
      <c r="AR67" s="548">
        <f t="shared" ref="AR67:AR79" si="27">IF($J$134&gt;0,AC93,)</f>
        <v>0</v>
      </c>
      <c r="AS67" s="569" t="str">
        <f>IF($L$1="Português",AS72,IF($L$1="English",AS77,IF($L$1="Español",AS82,IF($L$1="Français",AS87,))))</f>
        <v>Outra cor</v>
      </c>
    </row>
    <row r="68" spans="1:45" ht="12" x14ac:dyDescent="0.25">
      <c r="A68" s="256"/>
      <c r="D68" s="66"/>
      <c r="S68" s="257"/>
      <c r="U68" s="704"/>
      <c r="W68" s="713">
        <v>576</v>
      </c>
      <c r="X68" s="653"/>
      <c r="Y68" s="508" t="s">
        <v>391</v>
      </c>
      <c r="Z68" s="730">
        <f>IF($M$73=0,0,IF($M$73&gt;81,'T1'!$K$21,$Z$69))</f>
        <v>0</v>
      </c>
      <c r="AA68" s="509"/>
      <c r="AB68" s="731"/>
      <c r="AC68" s="688">
        <v>43</v>
      </c>
      <c r="AD68" s="680">
        <f t="shared" si="17"/>
        <v>0</v>
      </c>
      <c r="AE68" s="681">
        <f t="shared" si="18"/>
        <v>0</v>
      </c>
      <c r="AF68" s="682">
        <f t="shared" si="19"/>
        <v>0</v>
      </c>
      <c r="AG68" s="663">
        <f t="shared" si="20"/>
        <v>0</v>
      </c>
      <c r="AH68" s="683">
        <f t="shared" si="21"/>
        <v>0</v>
      </c>
      <c r="AI68" s="548">
        <f>IF($G$71&gt;0,#REF!,)</f>
        <v>0</v>
      </c>
      <c r="AJ68" s="548">
        <f t="shared" si="22"/>
        <v>0</v>
      </c>
      <c r="AK68" s="684">
        <f t="shared" si="23"/>
        <v>0</v>
      </c>
      <c r="AL68" s="549">
        <f t="shared" si="24"/>
        <v>0</v>
      </c>
      <c r="AM68" s="548">
        <f t="shared" si="25"/>
        <v>0</v>
      </c>
      <c r="AP68" s="663">
        <f t="shared" si="26"/>
        <v>0</v>
      </c>
      <c r="AR68" s="548">
        <f t="shared" si="27"/>
        <v>0</v>
      </c>
      <c r="AS68" s="601" t="s">
        <v>118</v>
      </c>
    </row>
    <row r="69" spans="1:45" ht="13.2" customHeight="1" x14ac:dyDescent="0.25">
      <c r="A69" s="256"/>
      <c r="D69" s="66"/>
      <c r="E69" s="66"/>
      <c r="L69" s="146"/>
      <c r="M69" s="177" t="str">
        <f>'T1'!$C$40</f>
        <v>Quant.</v>
      </c>
      <c r="N69" s="80"/>
      <c r="P69" s="177" t="s">
        <v>2</v>
      </c>
      <c r="Q69" s="82" t="str">
        <f>'T1'!$K$11</f>
        <v>Valor</v>
      </c>
      <c r="S69" s="257"/>
      <c r="W69" s="713">
        <v>585</v>
      </c>
      <c r="X69" s="653"/>
      <c r="Y69" s="732" t="s">
        <v>440</v>
      </c>
      <c r="Z69" s="733">
        <f>VLOOKUP($G$73,Y70:AA72,3,)</f>
        <v>0</v>
      </c>
      <c r="AA69" s="573"/>
      <c r="AB69" s="734">
        <f>VLOOKUP($G$73,Y70:AB72,4,)</f>
        <v>0</v>
      </c>
      <c r="AC69" s="688">
        <v>44</v>
      </c>
      <c r="AD69" s="680">
        <f t="shared" si="17"/>
        <v>0</v>
      </c>
      <c r="AE69" s="681">
        <f t="shared" si="18"/>
        <v>0</v>
      </c>
      <c r="AF69" s="682">
        <f t="shared" si="19"/>
        <v>0</v>
      </c>
      <c r="AG69" s="663">
        <f t="shared" si="20"/>
        <v>0</v>
      </c>
      <c r="AH69" s="683">
        <f t="shared" si="21"/>
        <v>0</v>
      </c>
      <c r="AI69" s="548">
        <f>IF($G$71&gt;0,#REF!,)</f>
        <v>0</v>
      </c>
      <c r="AJ69" s="548">
        <f t="shared" si="22"/>
        <v>0</v>
      </c>
      <c r="AK69" s="684">
        <f t="shared" si="23"/>
        <v>0</v>
      </c>
      <c r="AL69" s="549">
        <f t="shared" si="24"/>
        <v>0</v>
      </c>
      <c r="AM69" s="548">
        <f t="shared" si="25"/>
        <v>0</v>
      </c>
      <c r="AP69" s="663">
        <f t="shared" si="26"/>
        <v>0</v>
      </c>
      <c r="AR69" s="548">
        <f t="shared" si="27"/>
        <v>0</v>
      </c>
      <c r="AS69" s="601" t="s">
        <v>119</v>
      </c>
    </row>
    <row r="70" spans="1:45" x14ac:dyDescent="0.25">
      <c r="A70" s="256"/>
      <c r="B70" s="251" t="s">
        <v>34</v>
      </c>
      <c r="C70" s="80" t="str">
        <f>'T1'!$S$21</f>
        <v xml:space="preserve">ESTRADOS </v>
      </c>
      <c r="E70" s="80" t="str">
        <f>'T1'!$S$36</f>
        <v>(para Stand próprio  -  Fornecimento e Colocação)</v>
      </c>
      <c r="K70" s="249" t="str">
        <f>'T1'!$C$25</f>
        <v>Ler+</v>
      </c>
      <c r="S70" s="257"/>
      <c r="W70" s="548">
        <v>594</v>
      </c>
      <c r="X70" s="460"/>
      <c r="Y70" s="735">
        <v>0</v>
      </c>
      <c r="Z70" s="736"/>
      <c r="AB70" s="676"/>
      <c r="AC70" s="688">
        <v>45</v>
      </c>
      <c r="AD70" s="680">
        <f t="shared" si="17"/>
        <v>0</v>
      </c>
      <c r="AE70" s="681">
        <f t="shared" si="18"/>
        <v>0</v>
      </c>
      <c r="AF70" s="682">
        <f t="shared" si="19"/>
        <v>0</v>
      </c>
      <c r="AG70" s="663">
        <f t="shared" si="20"/>
        <v>0</v>
      </c>
      <c r="AH70" s="683">
        <f t="shared" si="21"/>
        <v>0</v>
      </c>
      <c r="AI70" s="548">
        <f>IF($G$71&gt;0,#REF!,)</f>
        <v>0</v>
      </c>
      <c r="AJ70" s="548">
        <f t="shared" si="22"/>
        <v>0</v>
      </c>
      <c r="AK70" s="684">
        <f t="shared" si="23"/>
        <v>0</v>
      </c>
      <c r="AL70" s="549">
        <f t="shared" si="24"/>
        <v>0</v>
      </c>
      <c r="AM70" s="548">
        <f t="shared" si="25"/>
        <v>0</v>
      </c>
      <c r="AP70" s="663">
        <f t="shared" si="26"/>
        <v>0</v>
      </c>
      <c r="AR70" s="548">
        <f t="shared" si="27"/>
        <v>0</v>
      </c>
      <c r="AS70" s="601" t="s">
        <v>120</v>
      </c>
    </row>
    <row r="71" spans="1:45" ht="12.6" thickBot="1" x14ac:dyDescent="0.3">
      <c r="A71" s="256"/>
      <c r="C71" s="17" t="str">
        <f>'T1'!$K$31</f>
        <v>SEM Alcatifa</v>
      </c>
      <c r="F71" s="248"/>
      <c r="G71" s="189"/>
      <c r="H71" s="792" t="str">
        <f>'T1'!$C$35</f>
        <v>cm de altura</v>
      </c>
      <c r="I71" s="793"/>
      <c r="J71" s="247"/>
      <c r="L71" s="159">
        <f>$AB$74</f>
        <v>0</v>
      </c>
      <c r="M71" s="190"/>
      <c r="N71" s="251" t="s">
        <v>9</v>
      </c>
      <c r="O71" s="790">
        <f>$Z$73</f>
        <v>0</v>
      </c>
      <c r="P71" s="791"/>
      <c r="Q71" s="41">
        <f>SUM(O71)*M71</f>
        <v>0</v>
      </c>
      <c r="S71" s="257"/>
      <c r="W71" s="548">
        <v>603</v>
      </c>
      <c r="X71" s="460"/>
      <c r="Y71" s="735">
        <v>3.2</v>
      </c>
      <c r="Z71" s="737">
        <f>IF($H$18&gt;0,Y71,)</f>
        <v>0</v>
      </c>
      <c r="AA71" s="720">
        <v>22.85</v>
      </c>
      <c r="AB71" s="738">
        <v>406653</v>
      </c>
      <c r="AC71" s="688">
        <v>46</v>
      </c>
      <c r="AD71" s="680">
        <f t="shared" si="17"/>
        <v>0</v>
      </c>
      <c r="AE71" s="681">
        <f t="shared" si="18"/>
        <v>0</v>
      </c>
      <c r="AF71" s="682">
        <f t="shared" si="19"/>
        <v>0</v>
      </c>
      <c r="AG71" s="663">
        <f t="shared" si="20"/>
        <v>0</v>
      </c>
      <c r="AH71" s="683">
        <f t="shared" si="21"/>
        <v>0</v>
      </c>
      <c r="AI71" s="548">
        <f>IF($G$71&gt;0,#REF!,)</f>
        <v>0</v>
      </c>
      <c r="AJ71" s="548">
        <f t="shared" si="22"/>
        <v>0</v>
      </c>
      <c r="AK71" s="684">
        <f t="shared" si="23"/>
        <v>0</v>
      </c>
      <c r="AL71" s="549">
        <f t="shared" si="24"/>
        <v>0</v>
      </c>
      <c r="AM71" s="548">
        <f t="shared" si="25"/>
        <v>0</v>
      </c>
      <c r="AP71" s="663">
        <f t="shared" si="26"/>
        <v>0</v>
      </c>
      <c r="AR71" s="548">
        <f t="shared" si="27"/>
        <v>0</v>
      </c>
      <c r="AS71" s="601" t="s">
        <v>121</v>
      </c>
    </row>
    <row r="72" spans="1:45" ht="13.2" customHeight="1" x14ac:dyDescent="0.25">
      <c r="A72" s="256"/>
      <c r="F72" s="248"/>
      <c r="G72" s="248"/>
      <c r="H72" s="247"/>
      <c r="I72" s="247"/>
      <c r="J72" s="247"/>
      <c r="L72" s="796">
        <f>IF($M$71&gt;0,0,IF($G$71&gt;0,$U$11,))</f>
        <v>0</v>
      </c>
      <c r="M72" s="796"/>
      <c r="N72" s="796"/>
      <c r="S72" s="257"/>
      <c r="W72" s="713">
        <v>612</v>
      </c>
      <c r="X72" s="653"/>
      <c r="Y72" s="739">
        <v>10</v>
      </c>
      <c r="Z72" s="740">
        <f>IF($H$18&gt;0,Y72,)</f>
        <v>0</v>
      </c>
      <c r="AA72" s="741">
        <v>25.77</v>
      </c>
      <c r="AB72" s="742">
        <v>406652</v>
      </c>
      <c r="AC72" s="688">
        <v>47</v>
      </c>
      <c r="AD72" s="680">
        <f t="shared" si="17"/>
        <v>0</v>
      </c>
      <c r="AE72" s="681">
        <f t="shared" si="18"/>
        <v>0</v>
      </c>
      <c r="AF72" s="682">
        <f t="shared" si="19"/>
        <v>0</v>
      </c>
      <c r="AG72" s="663">
        <f t="shared" si="20"/>
        <v>0</v>
      </c>
      <c r="AH72" s="683">
        <f t="shared" si="21"/>
        <v>0</v>
      </c>
      <c r="AI72" s="548">
        <f>IF($G$71&gt;0,#REF!,)</f>
        <v>0</v>
      </c>
      <c r="AJ72" s="548">
        <f t="shared" si="22"/>
        <v>0</v>
      </c>
      <c r="AK72" s="684">
        <f t="shared" si="23"/>
        <v>0</v>
      </c>
      <c r="AL72" s="549">
        <f t="shared" si="24"/>
        <v>0</v>
      </c>
      <c r="AM72" s="548">
        <f t="shared" si="25"/>
        <v>0</v>
      </c>
      <c r="AP72" s="663">
        <f t="shared" si="26"/>
        <v>0</v>
      </c>
      <c r="AR72" s="548">
        <f t="shared" si="27"/>
        <v>0</v>
      </c>
      <c r="AS72" s="743" t="s">
        <v>35</v>
      </c>
    </row>
    <row r="73" spans="1:45" ht="13.2" customHeight="1" thickBot="1" x14ac:dyDescent="0.3">
      <c r="A73" s="256"/>
      <c r="B73" s="251"/>
      <c r="C73" s="17" t="str">
        <f>'T1'!$K$26</f>
        <v>COM Alcatifa</v>
      </c>
      <c r="G73" s="189"/>
      <c r="H73" s="792" t="str">
        <f>'T1'!$C$35</f>
        <v>cm de altura</v>
      </c>
      <c r="I73" s="793"/>
      <c r="J73" s="80"/>
      <c r="L73" s="159">
        <f>$AB$69</f>
        <v>0</v>
      </c>
      <c r="M73" s="190"/>
      <c r="N73" s="251" t="s">
        <v>9</v>
      </c>
      <c r="O73" s="790">
        <f>$Z$68</f>
        <v>0</v>
      </c>
      <c r="P73" s="791"/>
      <c r="Q73" s="41">
        <f>SUM(O73)*M73</f>
        <v>0</v>
      </c>
      <c r="S73" s="257"/>
      <c r="W73" s="713">
        <v>621</v>
      </c>
      <c r="X73" s="653"/>
      <c r="Y73" s="744"/>
      <c r="Z73" s="730">
        <f>IF($M$71=0,0,IF($M$71&gt;81,'T1'!$K$21,$Z$74))</f>
        <v>0</v>
      </c>
      <c r="AA73" s="745"/>
      <c r="AB73" s="731"/>
      <c r="AC73" s="688">
        <v>48</v>
      </c>
      <c r="AD73" s="680">
        <f t="shared" si="17"/>
        <v>0</v>
      </c>
      <c r="AE73" s="681">
        <f t="shared" si="18"/>
        <v>0</v>
      </c>
      <c r="AF73" s="682">
        <f t="shared" si="19"/>
        <v>0</v>
      </c>
      <c r="AG73" s="663">
        <f t="shared" si="20"/>
        <v>0</v>
      </c>
      <c r="AH73" s="683">
        <f t="shared" si="21"/>
        <v>0</v>
      </c>
      <c r="AI73" s="548">
        <f>IF($G$71&gt;0,#REF!,)</f>
        <v>0</v>
      </c>
      <c r="AJ73" s="548">
        <f t="shared" si="22"/>
        <v>0</v>
      </c>
      <c r="AK73" s="684">
        <f t="shared" si="23"/>
        <v>0</v>
      </c>
      <c r="AL73" s="549">
        <f t="shared" si="24"/>
        <v>0</v>
      </c>
      <c r="AM73" s="548">
        <f t="shared" si="25"/>
        <v>0</v>
      </c>
      <c r="AP73" s="663">
        <f t="shared" si="26"/>
        <v>0</v>
      </c>
      <c r="AR73" s="548">
        <f t="shared" si="27"/>
        <v>0</v>
      </c>
      <c r="AS73" s="746" t="s">
        <v>127</v>
      </c>
    </row>
    <row r="74" spans="1:45" ht="13.2" customHeight="1" x14ac:dyDescent="0.25">
      <c r="A74" s="256"/>
      <c r="L74" s="796">
        <f>IF($M$73&gt;0,0,IF($G$73&gt;0,$U$11,))</f>
        <v>0</v>
      </c>
      <c r="M74" s="796"/>
      <c r="N74" s="796"/>
      <c r="S74" s="257"/>
      <c r="W74" s="548">
        <v>630</v>
      </c>
      <c r="X74" s="460"/>
      <c r="Y74" s="747" t="s">
        <v>441</v>
      </c>
      <c r="Z74" s="733">
        <f>VLOOKUP($G$71,Y75:AA77,3,)</f>
        <v>0</v>
      </c>
      <c r="AA74" s="573"/>
      <c r="AB74" s="734">
        <f>VLOOKUP($G$71,Y75:AB77,4,)</f>
        <v>0</v>
      </c>
      <c r="AC74" s="688">
        <v>49</v>
      </c>
      <c r="AD74" s="680">
        <f t="shared" si="17"/>
        <v>0</v>
      </c>
      <c r="AE74" s="681">
        <f t="shared" si="18"/>
        <v>0</v>
      </c>
      <c r="AF74" s="682">
        <f t="shared" si="19"/>
        <v>0</v>
      </c>
      <c r="AG74" s="663">
        <f t="shared" si="20"/>
        <v>0</v>
      </c>
      <c r="AH74" s="683">
        <f t="shared" si="21"/>
        <v>0</v>
      </c>
      <c r="AI74" s="548">
        <f>IF($G$71&gt;0,#REF!,)</f>
        <v>0</v>
      </c>
      <c r="AJ74" s="548">
        <f t="shared" si="22"/>
        <v>0</v>
      </c>
      <c r="AK74" s="684">
        <f t="shared" si="23"/>
        <v>0</v>
      </c>
      <c r="AL74" s="549">
        <f t="shared" si="24"/>
        <v>0</v>
      </c>
      <c r="AM74" s="548">
        <f t="shared" si="25"/>
        <v>0</v>
      </c>
      <c r="AP74" s="663">
        <f t="shared" si="26"/>
        <v>0</v>
      </c>
      <c r="AR74" s="548">
        <f t="shared" si="27"/>
        <v>0</v>
      </c>
      <c r="AS74" s="748" t="s">
        <v>122</v>
      </c>
    </row>
    <row r="75" spans="1:45" ht="13.2" customHeight="1" thickBot="1" x14ac:dyDescent="0.3">
      <c r="A75" s="256"/>
      <c r="E75" s="793" t="str">
        <f>'T1'!$O$6</f>
        <v>Cor da Alcatifa:</v>
      </c>
      <c r="F75" s="793"/>
      <c r="G75" s="793"/>
      <c r="H75" s="797"/>
      <c r="I75" s="798"/>
      <c r="J75" s="799"/>
      <c r="L75" s="251"/>
      <c r="M75" s="247"/>
      <c r="N75" s="247"/>
      <c r="S75" s="257"/>
      <c r="W75" s="548">
        <v>639</v>
      </c>
      <c r="X75" s="460"/>
      <c r="Y75" s="735">
        <v>0</v>
      </c>
      <c r="Z75" s="736"/>
      <c r="AA75" s="573"/>
      <c r="AB75" s="676"/>
      <c r="AC75" s="749">
        <v>50</v>
      </c>
      <c r="AD75" s="750">
        <f t="shared" si="17"/>
        <v>0</v>
      </c>
      <c r="AE75" s="681">
        <f t="shared" si="18"/>
        <v>0</v>
      </c>
      <c r="AF75" s="751">
        <f t="shared" si="19"/>
        <v>0</v>
      </c>
      <c r="AG75" s="663">
        <f t="shared" si="20"/>
        <v>0</v>
      </c>
      <c r="AH75" s="752">
        <f t="shared" si="21"/>
        <v>0</v>
      </c>
      <c r="AI75" s="548">
        <f>IF($G$71&gt;0,#REF!,)</f>
        <v>0</v>
      </c>
      <c r="AJ75" s="548">
        <f t="shared" si="22"/>
        <v>0</v>
      </c>
      <c r="AK75" s="751">
        <f t="shared" si="23"/>
        <v>0</v>
      </c>
      <c r="AL75" s="753">
        <f t="shared" si="24"/>
        <v>0</v>
      </c>
      <c r="AM75" s="593">
        <f t="shared" si="25"/>
        <v>0</v>
      </c>
      <c r="AP75" s="663">
        <f t="shared" si="26"/>
        <v>0</v>
      </c>
      <c r="AR75" s="548">
        <f t="shared" si="27"/>
        <v>0</v>
      </c>
      <c r="AS75" s="748" t="s">
        <v>123</v>
      </c>
    </row>
    <row r="76" spans="1:45" ht="12" x14ac:dyDescent="0.25">
      <c r="A76" s="256"/>
      <c r="F76" s="248"/>
      <c r="G76" s="248"/>
      <c r="H76" s="795">
        <f>IF($H$75=$AS$67,'T1'!$K$21,IF($H$75&gt;0,0,IF($M$73&gt;0,$U$11,)))</f>
        <v>0</v>
      </c>
      <c r="I76" s="795"/>
      <c r="J76" s="795"/>
      <c r="L76" s="251"/>
      <c r="M76" s="247"/>
      <c r="N76" s="247"/>
      <c r="O76" s="247"/>
      <c r="P76" s="93"/>
      <c r="S76" s="257"/>
      <c r="W76" s="713">
        <v>648</v>
      </c>
      <c r="X76" s="653"/>
      <c r="Y76" s="735">
        <v>3.2</v>
      </c>
      <c r="Z76" s="737">
        <f>IF($H$18&gt;0,Y76,)</f>
        <v>0</v>
      </c>
      <c r="AA76" s="720">
        <v>17.670000000000002</v>
      </c>
      <c r="AB76" s="754">
        <v>406655</v>
      </c>
      <c r="AC76" s="723">
        <v>51</v>
      </c>
      <c r="AD76" s="460"/>
      <c r="AE76" s="681">
        <f t="shared" si="18"/>
        <v>0</v>
      </c>
      <c r="AG76" s="548">
        <f t="shared" si="20"/>
        <v>0</v>
      </c>
      <c r="AH76" s="519"/>
      <c r="AI76" s="548">
        <f>IF($G$71&gt;0,#REF!,)</f>
        <v>0</v>
      </c>
      <c r="AJ76" s="548">
        <f t="shared" si="22"/>
        <v>0</v>
      </c>
      <c r="AK76" s="519"/>
      <c r="AM76" s="512"/>
      <c r="AP76" s="548">
        <f t="shared" si="26"/>
        <v>0</v>
      </c>
      <c r="AR76" s="548">
        <f t="shared" si="27"/>
        <v>0</v>
      </c>
      <c r="AS76" s="748" t="s">
        <v>124</v>
      </c>
    </row>
    <row r="77" spans="1:45" ht="12" x14ac:dyDescent="0.25">
      <c r="A77" s="256"/>
      <c r="B77" s="251" t="s">
        <v>34</v>
      </c>
      <c r="C77" s="80" t="str">
        <f>'T1'!$S$26</f>
        <v>INSTALAÇÕES ELÉCTRICAS</v>
      </c>
      <c r="D77" s="80"/>
      <c r="E77" s="80"/>
      <c r="F77" s="80"/>
      <c r="G77" s="80"/>
      <c r="L77" s="245"/>
      <c r="S77" s="257"/>
      <c r="W77" s="713">
        <v>657</v>
      </c>
      <c r="X77" s="653"/>
      <c r="Y77" s="739">
        <v>10</v>
      </c>
      <c r="Z77" s="740">
        <f>IF($H$18&gt;0,Y77,)</f>
        <v>0</v>
      </c>
      <c r="AA77" s="741">
        <v>20.46</v>
      </c>
      <c r="AB77" s="755">
        <v>406654</v>
      </c>
      <c r="AC77" s="756">
        <v>52</v>
      </c>
      <c r="AD77" s="460"/>
      <c r="AE77" s="681">
        <f t="shared" si="18"/>
        <v>0</v>
      </c>
      <c r="AG77" s="548">
        <f t="shared" si="20"/>
        <v>0</v>
      </c>
      <c r="AI77" s="548">
        <f>IF($G$71&gt;0,#REF!,)</f>
        <v>0</v>
      </c>
      <c r="AJ77" s="548">
        <f t="shared" si="22"/>
        <v>0</v>
      </c>
      <c r="AK77" s="519"/>
      <c r="AM77" s="512"/>
      <c r="AP77" s="548">
        <f t="shared" si="26"/>
        <v>0</v>
      </c>
      <c r="AR77" s="548">
        <f t="shared" si="27"/>
        <v>0</v>
      </c>
      <c r="AS77" s="757" t="s">
        <v>36</v>
      </c>
    </row>
    <row r="78" spans="1:45" ht="12.6" thickBot="1" x14ac:dyDescent="0.3">
      <c r="A78" s="256"/>
      <c r="C78" s="17" t="str">
        <f>'T1'!$Y$41</f>
        <v>Iluminação e Energia 220v / 380v - consumo total necessário</v>
      </c>
      <c r="D78" s="66"/>
      <c r="E78" s="66"/>
      <c r="F78" s="66"/>
      <c r="G78" s="66"/>
      <c r="H78" s="66"/>
      <c r="I78" s="66"/>
      <c r="J78" s="66"/>
      <c r="K78" s="66"/>
      <c r="L78" s="247"/>
      <c r="M78" s="192"/>
      <c r="N78" s="435" t="s">
        <v>20</v>
      </c>
      <c r="O78" s="66"/>
      <c r="P78" s="145"/>
      <c r="Q78" s="145"/>
      <c r="R78" s="66"/>
      <c r="S78" s="257"/>
      <c r="W78" s="548">
        <v>666</v>
      </c>
      <c r="X78" s="460"/>
      <c r="Y78" s="758" t="s">
        <v>959</v>
      </c>
      <c r="Z78" s="759"/>
      <c r="AA78" s="760">
        <f>VLOOKUP($M$45,Y79:AA84,3,)</f>
        <v>0</v>
      </c>
      <c r="AB78" s="761">
        <f>VLOOKUP($M$45,Y79:AB84,4,)</f>
        <v>0</v>
      </c>
      <c r="AC78" s="723">
        <v>53</v>
      </c>
      <c r="AD78" s="460"/>
      <c r="AE78" s="681">
        <f t="shared" si="18"/>
        <v>0</v>
      </c>
      <c r="AG78" s="548">
        <f t="shared" si="20"/>
        <v>0</v>
      </c>
      <c r="AI78" s="548">
        <f>IF($G$71&gt;0,#REF!,)</f>
        <v>0</v>
      </c>
      <c r="AJ78" s="548">
        <f t="shared" si="22"/>
        <v>0</v>
      </c>
      <c r="AK78" s="519"/>
      <c r="AM78" s="512"/>
      <c r="AP78" s="548">
        <f t="shared" si="26"/>
        <v>0</v>
      </c>
      <c r="AR78" s="548">
        <f t="shared" si="27"/>
        <v>0</v>
      </c>
      <c r="AS78" s="762" t="s">
        <v>125</v>
      </c>
    </row>
    <row r="79" spans="1:45" ht="12" x14ac:dyDescent="0.25">
      <c r="A79" s="256"/>
      <c r="D79" s="66"/>
      <c r="E79" s="66"/>
      <c r="F79" s="66"/>
      <c r="G79" s="66"/>
      <c r="H79" s="66"/>
      <c r="I79" s="66"/>
      <c r="J79" s="66"/>
      <c r="K79" s="66"/>
      <c r="L79" s="247"/>
      <c r="M79" s="247"/>
      <c r="N79" s="247"/>
      <c r="O79" s="66"/>
      <c r="P79" s="66"/>
      <c r="Q79" s="66"/>
      <c r="R79" s="66"/>
      <c r="S79" s="257"/>
      <c r="W79" s="549">
        <v>675</v>
      </c>
      <c r="X79" s="665"/>
      <c r="Y79" s="700">
        <v>0</v>
      </c>
      <c r="Z79" s="763"/>
      <c r="AA79" s="512"/>
      <c r="AB79" s="533"/>
      <c r="AC79" s="756">
        <v>54</v>
      </c>
      <c r="AD79" s="460"/>
      <c r="AE79" s="681">
        <f t="shared" si="18"/>
        <v>0</v>
      </c>
      <c r="AG79" s="548">
        <f t="shared" si="20"/>
        <v>0</v>
      </c>
      <c r="AI79" s="548">
        <f>IF($G$71&gt;0,#REF!,)</f>
        <v>0</v>
      </c>
      <c r="AJ79" s="548">
        <f t="shared" si="22"/>
        <v>0</v>
      </c>
      <c r="AP79" s="593">
        <f t="shared" si="26"/>
        <v>0</v>
      </c>
      <c r="AR79" s="593">
        <f t="shared" si="27"/>
        <v>0</v>
      </c>
      <c r="AS79" s="601" t="s">
        <v>119</v>
      </c>
    </row>
    <row r="80" spans="1:45" ht="13.2" customHeight="1" thickBot="1" x14ac:dyDescent="0.3">
      <c r="A80" s="256"/>
      <c r="C80" s="31" t="str">
        <f>'T1'!$G$31</f>
        <v>Quadro Eléctrico</v>
      </c>
      <c r="D80" s="66"/>
      <c r="H80" s="249" t="str">
        <f>'T1'!$C$25</f>
        <v>Ler+</v>
      </c>
      <c r="J80" s="388">
        <f>$AW$1</f>
        <v>0</v>
      </c>
      <c r="K80" s="797"/>
      <c r="L80" s="798"/>
      <c r="M80" s="798"/>
      <c r="N80" s="799"/>
      <c r="Q80" s="401">
        <f>$AV$1</f>
        <v>0</v>
      </c>
      <c r="S80" s="257"/>
      <c r="W80" s="552">
        <v>684</v>
      </c>
      <c r="X80" s="623"/>
      <c r="Y80" s="700" t="s">
        <v>686</v>
      </c>
      <c r="Z80" s="532">
        <f>IF($H$18&gt;0,Y80,)</f>
        <v>0</v>
      </c>
      <c r="AA80" s="701">
        <v>90.75</v>
      </c>
      <c r="AB80" s="764">
        <v>400107</v>
      </c>
      <c r="AC80" s="723">
        <v>55</v>
      </c>
      <c r="AD80" s="460"/>
      <c r="AE80" s="681">
        <f t="shared" si="18"/>
        <v>0</v>
      </c>
      <c r="AG80" s="548">
        <f t="shared" si="20"/>
        <v>0</v>
      </c>
      <c r="AI80" s="548">
        <f>IF($G$71&gt;0,#REF!,)</f>
        <v>0</v>
      </c>
      <c r="AJ80" s="548">
        <f t="shared" si="22"/>
        <v>0</v>
      </c>
      <c r="AP80" s="519"/>
      <c r="AR80" s="519"/>
      <c r="AS80" s="601" t="s">
        <v>120</v>
      </c>
    </row>
    <row r="81" spans="1:45" ht="12" x14ac:dyDescent="0.25">
      <c r="A81" s="256"/>
      <c r="L81" s="93"/>
      <c r="M81" s="93"/>
      <c r="N81" s="93"/>
      <c r="Q81" s="30"/>
      <c r="S81" s="257"/>
      <c r="W81" s="552">
        <v>693</v>
      </c>
      <c r="X81" s="623"/>
      <c r="Y81" s="700" t="s">
        <v>687</v>
      </c>
      <c r="Z81" s="532">
        <f>IF($H$18&gt;0,Y81,)</f>
        <v>0</v>
      </c>
      <c r="AA81" s="250">
        <v>120.03</v>
      </c>
      <c r="AB81" s="764">
        <v>400201</v>
      </c>
      <c r="AC81" s="756">
        <v>56</v>
      </c>
      <c r="AD81" s="460"/>
      <c r="AE81" s="681">
        <f t="shared" si="18"/>
        <v>0</v>
      </c>
      <c r="AG81" s="548">
        <f t="shared" si="20"/>
        <v>0</v>
      </c>
      <c r="AI81" s="548">
        <f>IF($G$71&gt;0,#REF!,)</f>
        <v>0</v>
      </c>
      <c r="AJ81" s="548">
        <f t="shared" si="22"/>
        <v>0</v>
      </c>
      <c r="AP81" s="519"/>
      <c r="AR81" s="519"/>
      <c r="AS81" s="601" t="s">
        <v>126</v>
      </c>
    </row>
    <row r="82" spans="1:45" ht="13.2" customHeight="1" thickBot="1" x14ac:dyDescent="0.3">
      <c r="A82" s="256"/>
      <c r="C82" s="17" t="str">
        <f>'T1'!$I$11</f>
        <v>Puxada Eléctrica    -    Suplementar</v>
      </c>
      <c r="G82" s="249" t="str">
        <f>'T1'!$C$25</f>
        <v>Ler+</v>
      </c>
      <c r="J82" s="402">
        <f>$AV$11</f>
        <v>0</v>
      </c>
      <c r="K82" s="801"/>
      <c r="L82" s="802"/>
      <c r="M82" s="803"/>
      <c r="N82" s="84"/>
      <c r="O82" s="66"/>
      <c r="Q82" s="401">
        <f>$AU$11</f>
        <v>0</v>
      </c>
      <c r="R82" s="66"/>
      <c r="S82" s="257"/>
      <c r="W82" s="549">
        <v>702</v>
      </c>
      <c r="X82" s="665"/>
      <c r="Y82" s="700" t="s">
        <v>688</v>
      </c>
      <c r="Z82" s="532">
        <f>IF($H$18&gt;0,Y82,)</f>
        <v>0</v>
      </c>
      <c r="AA82" s="250">
        <v>178.6</v>
      </c>
      <c r="AB82" s="764">
        <v>400108</v>
      </c>
      <c r="AC82" s="723">
        <v>57</v>
      </c>
      <c r="AD82" s="460"/>
      <c r="AE82" s="681">
        <f t="shared" si="18"/>
        <v>0</v>
      </c>
      <c r="AG82" s="548">
        <f t="shared" si="20"/>
        <v>0</v>
      </c>
      <c r="AI82" s="548">
        <f>IF($G$71&gt;0,#REF!,)</f>
        <v>0</v>
      </c>
      <c r="AJ82" s="548">
        <f t="shared" si="22"/>
        <v>0</v>
      </c>
      <c r="AS82" s="743" t="s">
        <v>37</v>
      </c>
    </row>
    <row r="83" spans="1:45" ht="10.8" customHeight="1" x14ac:dyDescent="0.25">
      <c r="A83" s="256"/>
      <c r="D83" s="66"/>
      <c r="E83" s="66"/>
      <c r="F83" s="66"/>
      <c r="G83" s="66"/>
      <c r="H83" s="66"/>
      <c r="I83" s="66"/>
      <c r="J83" s="66"/>
      <c r="K83" s="959"/>
      <c r="L83" s="959"/>
      <c r="M83" s="959"/>
      <c r="N83" s="93"/>
      <c r="O83" s="66"/>
      <c r="P83" s="66"/>
      <c r="Q83" s="66"/>
      <c r="R83" s="66"/>
      <c r="S83" s="257"/>
      <c r="W83" s="549">
        <v>711</v>
      </c>
      <c r="X83" s="665"/>
      <c r="Y83" s="700" t="s">
        <v>689</v>
      </c>
      <c r="Z83" s="532">
        <f>IF($H$18&gt;0,Y83,)</f>
        <v>0</v>
      </c>
      <c r="AA83" s="250">
        <v>149.31</v>
      </c>
      <c r="AB83" s="764">
        <v>400240</v>
      </c>
      <c r="AC83" s="756">
        <v>58</v>
      </c>
      <c r="AD83" s="460"/>
      <c r="AE83" s="681">
        <f t="shared" si="18"/>
        <v>0</v>
      </c>
      <c r="AG83" s="548">
        <f t="shared" si="20"/>
        <v>0</v>
      </c>
      <c r="AI83" s="548">
        <f>IF($G$71&gt;0,#REF!,)</f>
        <v>0</v>
      </c>
      <c r="AJ83" s="548">
        <f t="shared" si="22"/>
        <v>0</v>
      </c>
      <c r="AS83" s="765" t="s">
        <v>145</v>
      </c>
    </row>
    <row r="84" spans="1:45" x14ac:dyDescent="0.25">
      <c r="A84" s="256"/>
      <c r="C84" s="17" t="str">
        <f>'T1'!$S$31</f>
        <v>Consumo de Energia</v>
      </c>
      <c r="D84" s="66"/>
      <c r="E84" s="80" t="str">
        <f>'T1'!$W$42</f>
        <v>(inerente à Puxada Eléctrica suplementar)</v>
      </c>
      <c r="G84" s="66"/>
      <c r="H84" s="88"/>
      <c r="I84" s="88"/>
      <c r="J84" s="249" t="str">
        <f>'T1'!$C$25</f>
        <v>Ler+</v>
      </c>
      <c r="K84" s="66"/>
      <c r="L84" s="161" t="s">
        <v>142</v>
      </c>
      <c r="M84" s="403">
        <f>$AW$11</f>
        <v>0</v>
      </c>
      <c r="N84" s="78" t="s">
        <v>256</v>
      </c>
      <c r="O84" s="66"/>
      <c r="P84" s="83">
        <f>$AH$12</f>
        <v>35.31</v>
      </c>
      <c r="Q84" s="400">
        <f>P84*M84</f>
        <v>0</v>
      </c>
      <c r="R84" s="66"/>
      <c r="S84" s="257"/>
      <c r="W84" s="552">
        <v>720</v>
      </c>
      <c r="X84" s="623"/>
      <c r="Y84" s="766" t="s">
        <v>690</v>
      </c>
      <c r="Z84" s="532">
        <f>IF($H$18&gt;0,Y84,)</f>
        <v>0</v>
      </c>
      <c r="AA84" s="767">
        <v>207.88</v>
      </c>
      <c r="AB84" s="768">
        <v>411872</v>
      </c>
      <c r="AC84" s="723">
        <v>59</v>
      </c>
      <c r="AD84" s="460"/>
      <c r="AE84" s="681">
        <f t="shared" si="18"/>
        <v>0</v>
      </c>
      <c r="AG84" s="548">
        <f t="shared" si="20"/>
        <v>0</v>
      </c>
      <c r="AI84" s="548">
        <f>IF($G$71&gt;0,#REF!,)</f>
        <v>0</v>
      </c>
      <c r="AJ84" s="548">
        <f t="shared" si="22"/>
        <v>0</v>
      </c>
      <c r="AS84" s="769" t="s">
        <v>146</v>
      </c>
    </row>
    <row r="85" spans="1:45" ht="13.2" customHeight="1" x14ac:dyDescent="0.25">
      <c r="A85" s="256"/>
      <c r="D85" s="66"/>
      <c r="E85" s="66"/>
      <c r="F85" s="66"/>
      <c r="G85" s="66"/>
      <c r="H85" s="88"/>
      <c r="I85" s="88"/>
      <c r="J85" s="88"/>
      <c r="K85" s="66"/>
      <c r="L85" s="247"/>
      <c r="M85" s="247"/>
      <c r="N85" s="247"/>
      <c r="O85" s="66"/>
      <c r="P85" s="66"/>
      <c r="Q85" s="66"/>
      <c r="R85" s="66"/>
      <c r="S85" s="257"/>
      <c r="W85" s="552">
        <v>729</v>
      </c>
      <c r="X85" s="623"/>
      <c r="Y85" s="508" t="s">
        <v>707</v>
      </c>
      <c r="Z85" s="759"/>
      <c r="AA85" s="770">
        <f>VLOOKUP($I$111,Y86:AA91,3,)</f>
        <v>0</v>
      </c>
      <c r="AB85" s="761">
        <f>VLOOKUP($I$111,Y86:AB91,4,)</f>
        <v>0</v>
      </c>
      <c r="AC85" s="756">
        <v>60</v>
      </c>
      <c r="AD85" s="460"/>
      <c r="AE85" s="681">
        <f t="shared" si="18"/>
        <v>0</v>
      </c>
      <c r="AG85" s="548">
        <f t="shared" si="20"/>
        <v>0</v>
      </c>
      <c r="AI85" s="548">
        <f>IF($G$71&gt;0,#REF!,)</f>
        <v>0</v>
      </c>
      <c r="AJ85" s="548">
        <f t="shared" si="22"/>
        <v>0</v>
      </c>
      <c r="AS85" s="769" t="s">
        <v>147</v>
      </c>
    </row>
    <row r="86" spans="1:45" ht="12.6" thickBot="1" x14ac:dyDescent="0.3">
      <c r="A86" s="256"/>
      <c r="C86" s="17" t="str">
        <f>'T1'!$I$6</f>
        <v>Tomada Tripla Monofásica 10A</v>
      </c>
      <c r="L86" s="164" t="s">
        <v>80</v>
      </c>
      <c r="M86" s="192"/>
      <c r="N86" s="435" t="str">
        <f>'T1'!$E$1</f>
        <v>unid.</v>
      </c>
      <c r="O86" s="66"/>
      <c r="P86" s="62">
        <v>21.82</v>
      </c>
      <c r="Q86" s="24">
        <f>SUM(P86*M86)</f>
        <v>0</v>
      </c>
      <c r="R86" s="66"/>
      <c r="S86" s="257"/>
      <c r="W86" s="549">
        <v>738</v>
      </c>
      <c r="X86" s="665"/>
      <c r="Y86" s="700">
        <v>0</v>
      </c>
      <c r="Z86" s="763"/>
      <c r="AA86" s="512"/>
      <c r="AB86" s="533"/>
      <c r="AC86" s="723">
        <v>61</v>
      </c>
      <c r="AD86" s="460"/>
      <c r="AE86" s="681">
        <f t="shared" si="18"/>
        <v>0</v>
      </c>
      <c r="AG86" s="548">
        <f t="shared" si="20"/>
        <v>0</v>
      </c>
      <c r="AI86" s="548">
        <f>IF($G$71&gt;0,#REF!,)</f>
        <v>0</v>
      </c>
      <c r="AJ86" s="548">
        <f t="shared" si="22"/>
        <v>0</v>
      </c>
      <c r="AS86" s="769" t="s">
        <v>126</v>
      </c>
    </row>
    <row r="87" spans="1:45" ht="13.2" customHeight="1" x14ac:dyDescent="0.25">
      <c r="A87" s="256"/>
      <c r="D87" s="66"/>
      <c r="E87" s="66"/>
      <c r="F87" s="66"/>
      <c r="G87" s="66"/>
      <c r="H87" s="66"/>
      <c r="I87" s="66"/>
      <c r="J87" s="66"/>
      <c r="K87" s="66"/>
      <c r="L87" s="93"/>
      <c r="M87" s="93"/>
      <c r="N87" s="93"/>
      <c r="O87" s="66"/>
      <c r="Q87" s="66"/>
      <c r="R87" s="66"/>
      <c r="S87" s="257"/>
      <c r="W87" s="549">
        <v>747</v>
      </c>
      <c r="X87" s="665"/>
      <c r="Y87" s="550" t="s">
        <v>586</v>
      </c>
      <c r="Z87" s="532">
        <f>IF($H$18&gt;0,Y87,)</f>
        <v>0</v>
      </c>
      <c r="AA87" s="771">
        <f>$AJ$2</f>
        <v>192.51</v>
      </c>
      <c r="AB87" s="772">
        <v>412021</v>
      </c>
      <c r="AC87" s="756">
        <v>62</v>
      </c>
      <c r="AD87" s="460"/>
      <c r="AE87" s="681">
        <f t="shared" si="18"/>
        <v>0</v>
      </c>
      <c r="AG87" s="548">
        <f t="shared" si="20"/>
        <v>0</v>
      </c>
      <c r="AI87" s="548">
        <f>IF($G$71&gt;0,#REF!,)</f>
        <v>0</v>
      </c>
      <c r="AJ87" s="548">
        <f t="shared" si="22"/>
        <v>0</v>
      </c>
      <c r="AS87" s="773" t="s">
        <v>148</v>
      </c>
    </row>
    <row r="88" spans="1:45" ht="13.8" thickBot="1" x14ac:dyDescent="0.3">
      <c r="A88" s="256"/>
      <c r="C88" s="17" t="str">
        <f>'T1'!$I$1</f>
        <v xml:space="preserve">Energía   -  Permanente 24 Horas </v>
      </c>
      <c r="H88" s="491" t="str">
        <f>'T1'!$C$25</f>
        <v>Ler+</v>
      </c>
      <c r="I88" s="66"/>
      <c r="K88" s="66"/>
      <c r="L88" s="164" t="s">
        <v>79</v>
      </c>
      <c r="M88" s="192"/>
      <c r="N88" s="435" t="s">
        <v>20</v>
      </c>
      <c r="P88" s="87">
        <f>$AH$12</f>
        <v>35.31</v>
      </c>
      <c r="Q88" s="24">
        <f>SUM(P88*M88)</f>
        <v>0</v>
      </c>
      <c r="R88" s="66"/>
      <c r="S88" s="257"/>
      <c r="W88" s="552">
        <v>756</v>
      </c>
      <c r="X88" s="623"/>
      <c r="Y88" s="550" t="s">
        <v>587</v>
      </c>
      <c r="Z88" s="532">
        <f>IF($H$18&gt;0,Y88,)</f>
        <v>0</v>
      </c>
      <c r="AA88" s="771">
        <f>$AK$2</f>
        <v>278.42</v>
      </c>
      <c r="AB88" s="772">
        <v>412022</v>
      </c>
      <c r="AC88" s="723">
        <v>63</v>
      </c>
      <c r="AD88" s="460"/>
      <c r="AE88" s="681">
        <f t="shared" si="18"/>
        <v>0</v>
      </c>
      <c r="AG88" s="548">
        <f t="shared" si="20"/>
        <v>0</v>
      </c>
      <c r="AI88" s="548">
        <f>IF($G$71&gt;0,#REF!,)</f>
        <v>0</v>
      </c>
      <c r="AJ88" s="548">
        <f t="shared" si="22"/>
        <v>0</v>
      </c>
      <c r="AS88" s="519"/>
    </row>
    <row r="89" spans="1:45" ht="13.2" customHeight="1" x14ac:dyDescent="0.25">
      <c r="A89" s="256"/>
      <c r="D89" s="66"/>
      <c r="E89" s="66"/>
      <c r="F89" s="66"/>
      <c r="G89" s="66"/>
      <c r="H89" s="66"/>
      <c r="I89" s="66"/>
      <c r="K89" s="66"/>
      <c r="L89" s="377"/>
      <c r="M89" s="66"/>
      <c r="N89" s="441"/>
      <c r="O89" s="66"/>
      <c r="P89" s="88"/>
      <c r="Q89" s="66"/>
      <c r="R89" s="66"/>
      <c r="S89" s="257"/>
      <c r="W89" s="552">
        <v>765</v>
      </c>
      <c r="X89" s="623"/>
      <c r="Y89" s="550" t="s">
        <v>588</v>
      </c>
      <c r="Z89" s="532">
        <f>IF($H$18&gt;0,Y89,)</f>
        <v>0</v>
      </c>
      <c r="AA89" s="771">
        <f>$AL$2</f>
        <v>450.23</v>
      </c>
      <c r="AB89" s="772">
        <v>412023</v>
      </c>
      <c r="AC89" s="756">
        <v>64</v>
      </c>
      <c r="AD89" s="460"/>
      <c r="AE89" s="681">
        <f t="shared" si="18"/>
        <v>0</v>
      </c>
      <c r="AG89" s="548">
        <f t="shared" si="20"/>
        <v>0</v>
      </c>
      <c r="AI89" s="548">
        <f>IF($G$71&gt;0,#REF!,)</f>
        <v>0</v>
      </c>
      <c r="AJ89" s="548">
        <f t="shared" si="22"/>
        <v>0</v>
      </c>
      <c r="AS89" s="519"/>
    </row>
    <row r="90" spans="1:45" ht="12.6" thickBot="1" x14ac:dyDescent="0.3">
      <c r="A90" s="256"/>
      <c r="C90" s="17" t="str">
        <f>'T1'!$W$27</f>
        <v>Projector de Braço 300 W</v>
      </c>
      <c r="D90" s="66"/>
      <c r="E90" s="66"/>
      <c r="F90" s="66"/>
      <c r="G90" s="66"/>
      <c r="H90" s="66"/>
      <c r="I90" s="66"/>
      <c r="K90" s="66"/>
      <c r="L90" s="161" t="s">
        <v>265</v>
      </c>
      <c r="M90" s="192"/>
      <c r="N90" s="435" t="str">
        <f>'T1'!$E$1</f>
        <v>unid.</v>
      </c>
      <c r="O90" s="66"/>
      <c r="P90" s="62">
        <v>38.5</v>
      </c>
      <c r="Q90" s="24">
        <f>SUM(P90*M90)</f>
        <v>0</v>
      </c>
      <c r="R90" s="66"/>
      <c r="S90" s="257"/>
      <c r="W90" s="549">
        <v>774</v>
      </c>
      <c r="X90" s="665"/>
      <c r="Y90" s="550" t="s">
        <v>589</v>
      </c>
      <c r="Z90" s="532">
        <f>IF($H$18&gt;0,Y90,)</f>
        <v>0</v>
      </c>
      <c r="AA90" s="771">
        <f>$AM$2</f>
        <v>965.66</v>
      </c>
      <c r="AB90" s="772">
        <v>412024</v>
      </c>
      <c r="AC90" s="723">
        <v>65</v>
      </c>
      <c r="AD90" s="460"/>
      <c r="AE90" s="681">
        <f t="shared" ref="AE90:AE121" si="28">IF($H$18&gt;0,W69,)</f>
        <v>0</v>
      </c>
      <c r="AG90" s="548">
        <f t="shared" ref="AG90:AG108" si="29">IF($I$138&gt;0,AC97,)</f>
        <v>0</v>
      </c>
      <c r="AI90" s="548">
        <f>IF($G$71&gt;0,#REF!,)</f>
        <v>0</v>
      </c>
      <c r="AJ90" s="548">
        <f t="shared" ref="AJ90:AJ121" si="30">IF($G$73&gt;0,W69,)</f>
        <v>0</v>
      </c>
    </row>
    <row r="91" spans="1:45" ht="13.2" customHeight="1" x14ac:dyDescent="0.25">
      <c r="A91" s="256"/>
      <c r="D91" s="66"/>
      <c r="E91" s="66"/>
      <c r="F91" s="66"/>
      <c r="G91" s="66"/>
      <c r="H91" s="66"/>
      <c r="I91" s="66"/>
      <c r="J91" s="66"/>
      <c r="K91" s="66"/>
      <c r="L91" s="382"/>
      <c r="M91" s="66"/>
      <c r="N91" s="441"/>
      <c r="O91" s="66"/>
      <c r="P91" s="62"/>
      <c r="Q91" s="66"/>
      <c r="R91" s="66"/>
      <c r="S91" s="257"/>
      <c r="W91" s="549">
        <v>783</v>
      </c>
      <c r="X91" s="665"/>
      <c r="Y91" s="561" t="s">
        <v>599</v>
      </c>
      <c r="Z91" s="532">
        <f>IF($H$18&gt;0,Y91,)</f>
        <v>0</v>
      </c>
      <c r="AA91" s="774">
        <f>$AN$2</f>
        <v>1824.71</v>
      </c>
      <c r="AB91" s="775">
        <v>412025</v>
      </c>
      <c r="AC91" s="756">
        <v>66</v>
      </c>
      <c r="AD91" s="460"/>
      <c r="AE91" s="681">
        <f t="shared" si="28"/>
        <v>0</v>
      </c>
      <c r="AG91" s="548">
        <f t="shared" si="29"/>
        <v>0</v>
      </c>
      <c r="AI91" s="548">
        <f>IF($G$71&gt;0,#REF!,)</f>
        <v>0</v>
      </c>
      <c r="AJ91" s="548">
        <f t="shared" si="30"/>
        <v>0</v>
      </c>
    </row>
    <row r="92" spans="1:45" ht="13.2" customHeight="1" thickBot="1" x14ac:dyDescent="0.3">
      <c r="A92" s="256"/>
      <c r="C92" s="17" t="str">
        <f>'T1'!$Y$46</f>
        <v>Torre de Iluminação (sem projectores) 2,50m alt.</v>
      </c>
      <c r="D92" s="66"/>
      <c r="E92" s="66"/>
      <c r="F92" s="66"/>
      <c r="G92" s="66"/>
      <c r="H92" s="66"/>
      <c r="I92" s="66"/>
      <c r="J92" s="66"/>
      <c r="K92" s="66"/>
      <c r="L92" s="161" t="s">
        <v>270</v>
      </c>
      <c r="M92" s="192"/>
      <c r="N92" s="435" t="str">
        <f>'T1'!$E$1</f>
        <v>unid.</v>
      </c>
      <c r="O92" s="66"/>
      <c r="P92" s="62">
        <v>60.5</v>
      </c>
      <c r="Q92" s="24">
        <f>SUM(P92*M92)</f>
        <v>0</v>
      </c>
      <c r="R92" s="66"/>
      <c r="S92" s="257"/>
      <c r="W92" s="552">
        <v>792</v>
      </c>
      <c r="X92" s="623"/>
      <c r="Y92" s="508" t="s">
        <v>1035</v>
      </c>
      <c r="Z92" s="509"/>
      <c r="AA92" s="776">
        <f>VLOOKUP($I$123,Y93:AA96,3,)</f>
        <v>0</v>
      </c>
      <c r="AB92" s="511">
        <f>VLOOKUP($I$123,Y93:AB96,4,)</f>
        <v>0</v>
      </c>
      <c r="AC92" s="723">
        <v>67</v>
      </c>
      <c r="AD92" s="460"/>
      <c r="AE92" s="681">
        <f t="shared" si="28"/>
        <v>0</v>
      </c>
      <c r="AG92" s="548">
        <f t="shared" si="29"/>
        <v>0</v>
      </c>
      <c r="AI92" s="548">
        <f>IF($G$71&gt;0,#REF!,)</f>
        <v>0</v>
      </c>
      <c r="AJ92" s="548">
        <f t="shared" si="30"/>
        <v>0</v>
      </c>
    </row>
    <row r="93" spans="1:45" ht="13.2" customHeight="1" x14ac:dyDescent="0.25">
      <c r="A93" s="256"/>
      <c r="D93" s="66"/>
      <c r="E93" s="66"/>
      <c r="F93" s="66"/>
      <c r="G93" s="962"/>
      <c r="H93" s="66"/>
      <c r="I93" s="66"/>
      <c r="J93" s="66"/>
      <c r="K93" s="66"/>
      <c r="L93" s="159"/>
      <c r="M93" s="66"/>
      <c r="N93" s="441"/>
      <c r="O93" s="66"/>
      <c r="P93" s="66"/>
      <c r="Q93" s="66"/>
      <c r="R93" s="66"/>
      <c r="S93" s="257"/>
      <c r="W93" s="552">
        <v>801</v>
      </c>
      <c r="X93" s="623"/>
      <c r="Y93" s="665">
        <v>0</v>
      </c>
      <c r="Z93" s="777"/>
      <c r="AB93" s="514"/>
      <c r="AC93" s="756">
        <v>68</v>
      </c>
      <c r="AD93" s="460"/>
      <c r="AE93" s="681">
        <f t="shared" si="28"/>
        <v>0</v>
      </c>
      <c r="AG93" s="548">
        <f t="shared" si="29"/>
        <v>0</v>
      </c>
      <c r="AI93" s="548">
        <f>IF($G$71&gt;0,#REF!,)</f>
        <v>0</v>
      </c>
      <c r="AJ93" s="548">
        <f t="shared" si="30"/>
        <v>0</v>
      </c>
    </row>
    <row r="94" spans="1:45" x14ac:dyDescent="0.25">
      <c r="A94" s="256"/>
      <c r="B94" s="251" t="s">
        <v>34</v>
      </c>
      <c r="C94" s="80" t="str">
        <f>'T1'!$U$46</f>
        <v>ÁGUA E ESGOTO</v>
      </c>
      <c r="D94" s="66"/>
      <c r="G94" s="961" t="str">
        <f>'T1'!$C$25</f>
        <v>Ler+</v>
      </c>
      <c r="N94" s="251"/>
      <c r="S94" s="257"/>
      <c r="W94" s="549">
        <v>810</v>
      </c>
      <c r="X94" s="665"/>
      <c r="Y94" s="546" t="s">
        <v>593</v>
      </c>
      <c r="Z94" s="532">
        <f>IF($H$18&gt;0,Y94,)</f>
        <v>0</v>
      </c>
      <c r="AA94" s="778">
        <f>$AD$12</f>
        <v>150</v>
      </c>
      <c r="AB94" s="779">
        <v>407757</v>
      </c>
      <c r="AC94" s="723">
        <v>69</v>
      </c>
      <c r="AD94" s="460"/>
      <c r="AE94" s="681">
        <f t="shared" si="28"/>
        <v>0</v>
      </c>
      <c r="AG94" s="548">
        <f t="shared" si="29"/>
        <v>0</v>
      </c>
      <c r="AI94" s="548">
        <f>IF($G$71&gt;0,#REF!,)</f>
        <v>0</v>
      </c>
      <c r="AJ94" s="548">
        <f t="shared" si="30"/>
        <v>0</v>
      </c>
    </row>
    <row r="95" spans="1:45" ht="13.2" customHeight="1" thickBot="1" x14ac:dyDescent="0.3">
      <c r="A95" s="256"/>
      <c r="C95" s="17" t="str">
        <f>'T1'!$Q$11</f>
        <v>Lava-loiça com bancada</v>
      </c>
      <c r="D95" s="66"/>
      <c r="E95" s="66"/>
      <c r="F95" s="66"/>
      <c r="G95" s="66"/>
      <c r="H95" s="66"/>
      <c r="I95" s="66"/>
      <c r="J95" s="66"/>
      <c r="K95" s="399">
        <v>411814</v>
      </c>
      <c r="L95" s="390" t="s">
        <v>112</v>
      </c>
      <c r="M95" s="192"/>
      <c r="N95" s="435" t="str">
        <f>'T1'!$E$1</f>
        <v>unid.</v>
      </c>
      <c r="O95" s="66"/>
      <c r="P95" s="62">
        <v>88.09</v>
      </c>
      <c r="Q95" s="24">
        <f>SUM(P95*M95)</f>
        <v>0</v>
      </c>
      <c r="R95" s="66"/>
      <c r="S95" s="257"/>
      <c r="W95" s="549">
        <v>819</v>
      </c>
      <c r="X95" s="665"/>
      <c r="Y95" s="550" t="s">
        <v>728</v>
      </c>
      <c r="Z95" s="532">
        <f>IF($H$18&gt;0,Y95,)</f>
        <v>0</v>
      </c>
      <c r="AA95" s="778">
        <f>$AE$12</f>
        <v>255</v>
      </c>
      <c r="AB95" s="780" t="s">
        <v>594</v>
      </c>
      <c r="AC95" s="756">
        <v>70</v>
      </c>
      <c r="AD95" s="460"/>
      <c r="AE95" s="681">
        <f t="shared" si="28"/>
        <v>0</v>
      </c>
      <c r="AG95" s="548">
        <f t="shared" si="29"/>
        <v>0</v>
      </c>
      <c r="AI95" s="548">
        <f>IF($G$71&gt;0,#REF!,)</f>
        <v>0</v>
      </c>
      <c r="AJ95" s="548">
        <f t="shared" si="30"/>
        <v>0</v>
      </c>
    </row>
    <row r="96" spans="1:45" ht="12" x14ac:dyDescent="0.25">
      <c r="A96" s="256"/>
      <c r="D96" s="66"/>
      <c r="E96" s="66"/>
      <c r="F96" s="66"/>
      <c r="G96" s="66"/>
      <c r="H96" s="66"/>
      <c r="I96" s="66"/>
      <c r="J96" s="66"/>
      <c r="K96" s="66"/>
      <c r="L96" s="161"/>
      <c r="M96" s="66"/>
      <c r="N96" s="441"/>
      <c r="O96" s="66"/>
      <c r="P96" s="109"/>
      <c r="Q96" s="66"/>
      <c r="R96" s="66"/>
      <c r="S96" s="257"/>
      <c r="W96" s="552">
        <v>828</v>
      </c>
      <c r="X96" s="623"/>
      <c r="Y96" s="561" t="s">
        <v>729</v>
      </c>
      <c r="Z96" s="781">
        <f>IF($H$18&gt;0,Y96,)</f>
        <v>0</v>
      </c>
      <c r="AA96" s="782">
        <f>$AF$12</f>
        <v>480</v>
      </c>
      <c r="AB96" s="783">
        <v>409103</v>
      </c>
      <c r="AC96" s="723">
        <v>71</v>
      </c>
      <c r="AD96" s="460"/>
      <c r="AE96" s="681">
        <f t="shared" si="28"/>
        <v>0</v>
      </c>
      <c r="AG96" s="548">
        <f t="shared" si="29"/>
        <v>0</v>
      </c>
      <c r="AI96" s="548">
        <f>IF($G$71&gt;0,#REF!,)</f>
        <v>0</v>
      </c>
      <c r="AJ96" s="548">
        <f t="shared" si="30"/>
        <v>0</v>
      </c>
    </row>
    <row r="97" spans="1:36" ht="13.2" customHeight="1" thickBot="1" x14ac:dyDescent="0.3">
      <c r="A97" s="256"/>
      <c r="C97" s="17" t="str">
        <f>'T1'!$Q$16</f>
        <v>Ligação de Lava-loiça do Expositor</v>
      </c>
      <c r="D97" s="66"/>
      <c r="E97" s="66"/>
      <c r="F97" s="66"/>
      <c r="G97" s="66"/>
      <c r="H97" s="66"/>
      <c r="I97" s="66"/>
      <c r="J97" s="66"/>
      <c r="K97" s="66"/>
      <c r="L97" s="161" t="s">
        <v>113</v>
      </c>
      <c r="M97" s="192"/>
      <c r="N97" s="435" t="str">
        <f>'T1'!$E$1</f>
        <v>unid.</v>
      </c>
      <c r="O97" s="66"/>
      <c r="P97" s="62">
        <v>71.41</v>
      </c>
      <c r="Q97" s="24">
        <f>SUM(P97*M97)</f>
        <v>0</v>
      </c>
      <c r="R97" s="66"/>
      <c r="S97" s="257"/>
      <c r="W97" s="552">
        <v>837</v>
      </c>
      <c r="X97" s="623"/>
      <c r="AC97" s="723">
        <v>72</v>
      </c>
      <c r="AD97" s="460"/>
      <c r="AE97" s="681">
        <f t="shared" si="28"/>
        <v>0</v>
      </c>
      <c r="AG97" s="548">
        <f t="shared" si="29"/>
        <v>0</v>
      </c>
      <c r="AH97" s="519"/>
      <c r="AI97" s="548">
        <f>IF($G$71&gt;0,#REF!,)</f>
        <v>0</v>
      </c>
      <c r="AJ97" s="548">
        <f t="shared" si="30"/>
        <v>0</v>
      </c>
    </row>
    <row r="98" spans="1:36" ht="12" x14ac:dyDescent="0.25">
      <c r="A98" s="256"/>
      <c r="D98" s="66"/>
      <c r="E98" s="66"/>
      <c r="F98" s="66"/>
      <c r="G98" s="66"/>
      <c r="H98" s="66"/>
      <c r="I98" s="66"/>
      <c r="J98" s="66"/>
      <c r="K98" s="66"/>
      <c r="L98" s="161"/>
      <c r="M98" s="66"/>
      <c r="N98" s="441"/>
      <c r="O98" s="66"/>
      <c r="P98" s="109"/>
      <c r="Q98" s="66"/>
      <c r="R98" s="66"/>
      <c r="S98" s="257"/>
      <c r="W98" s="549">
        <v>846</v>
      </c>
      <c r="X98" s="665"/>
      <c r="AC98" s="756">
        <v>73</v>
      </c>
      <c r="AD98" s="460"/>
      <c r="AE98" s="681">
        <f t="shared" si="28"/>
        <v>0</v>
      </c>
      <c r="AG98" s="548">
        <f t="shared" si="29"/>
        <v>0</v>
      </c>
      <c r="AH98" s="519"/>
      <c r="AI98" s="548">
        <f>IF($G$71&gt;0,#REF!,)</f>
        <v>0</v>
      </c>
      <c r="AJ98" s="548">
        <f t="shared" si="30"/>
        <v>0</v>
      </c>
    </row>
    <row r="99" spans="1:36" ht="13.2" customHeight="1" thickBot="1" x14ac:dyDescent="0.3">
      <c r="A99" s="256"/>
      <c r="B99" s="252"/>
      <c r="C99" s="17" t="str">
        <f>'T1'!$Q$6</f>
        <v>Lava-mãos com Kit de Higienização</v>
      </c>
      <c r="D99" s="66"/>
      <c r="E99" s="66"/>
      <c r="F99" s="66"/>
      <c r="G99" s="66"/>
      <c r="H99" s="66"/>
      <c r="I99" s="66"/>
      <c r="K99" s="66"/>
      <c r="L99" s="165" t="s">
        <v>114</v>
      </c>
      <c r="M99" s="192"/>
      <c r="N99" s="435" t="str">
        <f>'T1'!$E$1</f>
        <v>unid.</v>
      </c>
      <c r="O99" s="66"/>
      <c r="P99" s="62">
        <v>147.86000000000001</v>
      </c>
      <c r="Q99" s="24">
        <f>SUM(P99*M99)</f>
        <v>0</v>
      </c>
      <c r="R99" s="66"/>
      <c r="S99" s="257"/>
      <c r="W99" s="549">
        <v>855</v>
      </c>
      <c r="X99" s="665"/>
      <c r="AC99" s="723">
        <v>74</v>
      </c>
      <c r="AD99" s="460"/>
      <c r="AE99" s="681">
        <f t="shared" si="28"/>
        <v>0</v>
      </c>
      <c r="AG99" s="548">
        <f t="shared" si="29"/>
        <v>0</v>
      </c>
      <c r="AH99" s="519"/>
      <c r="AI99" s="548">
        <f>IF($G$71&gt;0,#REF!,)</f>
        <v>0</v>
      </c>
      <c r="AJ99" s="548">
        <f t="shared" si="30"/>
        <v>0</v>
      </c>
    </row>
    <row r="100" spans="1:36" ht="12" x14ac:dyDescent="0.25">
      <c r="A100" s="256"/>
      <c r="B100" s="252"/>
      <c r="D100" s="66"/>
      <c r="E100" s="66"/>
      <c r="F100" s="66"/>
      <c r="G100" s="66"/>
      <c r="H100" s="66"/>
      <c r="I100" s="66"/>
      <c r="K100" s="66"/>
      <c r="L100" s="165"/>
      <c r="M100" s="165"/>
      <c r="N100" s="442"/>
      <c r="O100" s="66"/>
      <c r="P100" s="62"/>
      <c r="Q100" s="24"/>
      <c r="R100" s="66"/>
      <c r="S100" s="257"/>
      <c r="W100" s="552">
        <v>864</v>
      </c>
      <c r="X100" s="623"/>
      <c r="Y100" s="784"/>
      <c r="AC100" s="756">
        <v>75</v>
      </c>
      <c r="AD100" s="460"/>
      <c r="AE100" s="681">
        <f t="shared" si="28"/>
        <v>0</v>
      </c>
      <c r="AG100" s="548">
        <f t="shared" si="29"/>
        <v>0</v>
      </c>
      <c r="AH100" s="519"/>
      <c r="AI100" s="548">
        <f>IF($G$71&gt;0,#REF!,)</f>
        <v>0</v>
      </c>
      <c r="AJ100" s="548">
        <f t="shared" si="30"/>
        <v>0</v>
      </c>
    </row>
    <row r="101" spans="1:36" ht="12.6" thickBot="1" x14ac:dyDescent="0.3">
      <c r="A101" s="256"/>
      <c r="C101" s="17" t="str">
        <f>'T2'!$A$53</f>
        <v>Água Quente  (serviço adicional ao ponto de água fria)</v>
      </c>
      <c r="D101" s="66"/>
      <c r="E101" s="66"/>
      <c r="F101" s="66"/>
      <c r="G101" s="66"/>
      <c r="H101" s="66"/>
      <c r="I101" s="66"/>
      <c r="J101" s="66"/>
      <c r="K101" s="66"/>
      <c r="L101" s="383" t="s">
        <v>111</v>
      </c>
      <c r="M101" s="192"/>
      <c r="N101" s="435" t="str">
        <f>'T1'!$E$1</f>
        <v>unid.</v>
      </c>
      <c r="O101" s="66"/>
      <c r="P101" s="62">
        <v>103.68</v>
      </c>
      <c r="Q101" s="24">
        <f>SUM(P101*M101)</f>
        <v>0</v>
      </c>
      <c r="R101" s="66"/>
      <c r="S101" s="257"/>
      <c r="W101" s="552">
        <v>873</v>
      </c>
      <c r="X101" s="623"/>
      <c r="Y101" s="784"/>
      <c r="AC101" s="723">
        <v>76</v>
      </c>
      <c r="AD101" s="460"/>
      <c r="AE101" s="681">
        <f t="shared" si="28"/>
        <v>0</v>
      </c>
      <c r="AG101" s="548">
        <f t="shared" si="29"/>
        <v>0</v>
      </c>
      <c r="AH101" s="519"/>
      <c r="AI101" s="548">
        <f>IF($G$71&gt;0,#REF!,)</f>
        <v>0</v>
      </c>
      <c r="AJ101" s="548">
        <f t="shared" si="30"/>
        <v>0</v>
      </c>
    </row>
    <row r="102" spans="1:36" ht="13.2" customHeight="1" x14ac:dyDescent="0.25">
      <c r="A102" s="256"/>
      <c r="D102" s="66"/>
      <c r="E102" s="66"/>
      <c r="F102" s="66"/>
      <c r="G102" s="66"/>
      <c r="H102" s="66"/>
      <c r="I102" s="66"/>
      <c r="J102" s="66"/>
      <c r="K102" s="66"/>
      <c r="L102" s="136"/>
      <c r="M102" s="66"/>
      <c r="N102" s="441"/>
      <c r="O102" s="66"/>
      <c r="P102" s="109"/>
      <c r="Q102" s="66"/>
      <c r="R102" s="66"/>
      <c r="S102" s="257"/>
      <c r="W102" s="549">
        <v>882</v>
      </c>
      <c r="X102" s="665"/>
      <c r="Y102" s="784"/>
      <c r="AC102" s="756">
        <v>77</v>
      </c>
      <c r="AD102" s="460"/>
      <c r="AE102" s="681">
        <f t="shared" si="28"/>
        <v>0</v>
      </c>
      <c r="AG102" s="548">
        <f t="shared" si="29"/>
        <v>0</v>
      </c>
      <c r="AH102" s="519"/>
      <c r="AI102" s="548">
        <f>IF($G$71&gt;0,#REF!,)</f>
        <v>0</v>
      </c>
      <c r="AJ102" s="548">
        <f t="shared" si="30"/>
        <v>0</v>
      </c>
    </row>
    <row r="103" spans="1:36" ht="12.6" thickBot="1" x14ac:dyDescent="0.3">
      <c r="A103" s="256"/>
      <c r="C103" s="17" t="str">
        <f>'T1'!$Q$1</f>
        <v>Ponto de Água Fria e Esgoto</v>
      </c>
      <c r="D103" s="66"/>
      <c r="E103" s="66"/>
      <c r="F103" s="66"/>
      <c r="J103" s="66"/>
      <c r="K103" s="66"/>
      <c r="L103" s="161" t="s">
        <v>110</v>
      </c>
      <c r="M103" s="192"/>
      <c r="N103" s="435" t="str">
        <f>'T1'!$E$1</f>
        <v>unid.</v>
      </c>
      <c r="O103" s="66"/>
      <c r="P103" s="62">
        <v>151.47999999999999</v>
      </c>
      <c r="Q103" s="24">
        <f>SUM(P103*M103)</f>
        <v>0</v>
      </c>
      <c r="R103" s="66"/>
      <c r="S103" s="257"/>
      <c r="W103" s="549">
        <v>891</v>
      </c>
      <c r="X103" s="665"/>
      <c r="Y103" s="784"/>
      <c r="AC103" s="723">
        <v>78</v>
      </c>
      <c r="AD103" s="460"/>
      <c r="AE103" s="681">
        <f t="shared" si="28"/>
        <v>0</v>
      </c>
      <c r="AG103" s="548">
        <f t="shared" si="29"/>
        <v>0</v>
      </c>
      <c r="AH103" s="519"/>
      <c r="AI103" s="548">
        <f>IF($G$71&gt;0,#REF!,)</f>
        <v>0</v>
      </c>
      <c r="AJ103" s="548">
        <f t="shared" si="30"/>
        <v>0</v>
      </c>
    </row>
    <row r="104" spans="1:36" ht="12" x14ac:dyDescent="0.25">
      <c r="A104" s="256"/>
      <c r="D104" s="66"/>
      <c r="E104" s="66"/>
      <c r="F104" s="66"/>
      <c r="G104" s="66"/>
      <c r="H104" s="66"/>
      <c r="I104" s="66"/>
      <c r="J104" s="66"/>
      <c r="K104" s="66"/>
      <c r="L104" s="835">
        <f>IF($M$103&gt;0,0,IF($M$95+$M$97+$M$99+$M$101&gt;0,$U$11,))</f>
        <v>0</v>
      </c>
      <c r="M104" s="835"/>
      <c r="N104" s="835"/>
      <c r="O104" s="66"/>
      <c r="P104" s="63"/>
      <c r="Q104" s="66"/>
      <c r="R104" s="66"/>
      <c r="S104" s="257"/>
      <c r="W104" s="552">
        <v>900</v>
      </c>
      <c r="X104" s="623"/>
      <c r="Y104" s="784"/>
      <c r="AC104" s="723">
        <v>79</v>
      </c>
      <c r="AD104" s="460"/>
      <c r="AE104" s="681">
        <f t="shared" si="28"/>
        <v>0</v>
      </c>
      <c r="AG104" s="548">
        <f t="shared" si="29"/>
        <v>0</v>
      </c>
      <c r="AH104" s="519"/>
      <c r="AI104" s="548">
        <f>IF($G$71&gt;0,#REF!,)</f>
        <v>0</v>
      </c>
      <c r="AJ104" s="548">
        <f t="shared" si="30"/>
        <v>0</v>
      </c>
    </row>
    <row r="105" spans="1:36" ht="13.2" customHeight="1" x14ac:dyDescent="0.25">
      <c r="A105" s="256"/>
      <c r="B105" s="251" t="s">
        <v>34</v>
      </c>
      <c r="C105" s="80" t="str">
        <f>'T1'!$G$1</f>
        <v>AR COMPRIMIDO</v>
      </c>
      <c r="D105" s="66"/>
      <c r="E105" s="66"/>
      <c r="G105" s="66"/>
      <c r="H105" s="66"/>
      <c r="I105" s="66"/>
      <c r="J105" s="66"/>
      <c r="K105" s="66"/>
      <c r="R105" s="66"/>
      <c r="S105" s="257"/>
      <c r="W105" s="552">
        <v>909</v>
      </c>
      <c r="X105" s="623"/>
      <c r="Y105" s="784"/>
      <c r="AC105" s="723">
        <v>80</v>
      </c>
      <c r="AD105" s="460"/>
      <c r="AE105" s="681">
        <f t="shared" si="28"/>
        <v>0</v>
      </c>
      <c r="AG105" s="548">
        <f t="shared" si="29"/>
        <v>0</v>
      </c>
      <c r="AH105" s="519"/>
      <c r="AI105" s="548">
        <f>IF($G$71&gt;0,#REF!,)</f>
        <v>0</v>
      </c>
      <c r="AJ105" s="548">
        <f t="shared" si="30"/>
        <v>0</v>
      </c>
    </row>
    <row r="106" spans="1:36" ht="13.2" customHeight="1" thickBot="1" x14ac:dyDescent="0.3">
      <c r="A106" s="256"/>
      <c r="C106" s="17" t="str">
        <f>'T1'!$I$31</f>
        <v>Ligação e Fornecimento-6 BAR e MÍN. 500 l/s</v>
      </c>
      <c r="D106" s="66"/>
      <c r="E106" s="66"/>
      <c r="F106" s="66"/>
      <c r="G106" s="66"/>
      <c r="H106" s="66"/>
      <c r="I106" s="66"/>
      <c r="J106" s="66"/>
      <c r="K106" s="66"/>
      <c r="L106" s="161" t="s">
        <v>278</v>
      </c>
      <c r="M106" s="192"/>
      <c r="N106" s="435" t="str">
        <f>'T1'!$E$1</f>
        <v>unid.</v>
      </c>
      <c r="O106" s="66"/>
      <c r="P106" s="62">
        <v>355.38</v>
      </c>
      <c r="Q106" s="24">
        <f>SUM(P106*M106)</f>
        <v>0</v>
      </c>
      <c r="R106" s="66"/>
      <c r="S106" s="257"/>
      <c r="W106" s="549">
        <v>918</v>
      </c>
      <c r="X106" s="665"/>
      <c r="Y106" s="784"/>
      <c r="AC106" s="723">
        <v>81</v>
      </c>
      <c r="AD106" s="460"/>
      <c r="AE106" s="681">
        <f t="shared" si="28"/>
        <v>0</v>
      </c>
      <c r="AG106" s="548">
        <f t="shared" si="29"/>
        <v>0</v>
      </c>
      <c r="AH106" s="519"/>
      <c r="AI106" s="548">
        <f>IF($G$71&gt;0,#REF!,)</f>
        <v>0</v>
      </c>
      <c r="AJ106" s="548">
        <f t="shared" si="30"/>
        <v>0</v>
      </c>
    </row>
    <row r="107" spans="1:36" ht="12" x14ac:dyDescent="0.25">
      <c r="A107" s="256"/>
      <c r="D107" s="66"/>
      <c r="E107" s="66"/>
      <c r="F107" s="66"/>
      <c r="G107" s="66"/>
      <c r="H107" s="66"/>
      <c r="I107" s="66"/>
      <c r="J107" s="66"/>
      <c r="K107" s="66"/>
      <c r="L107" s="159"/>
      <c r="M107" s="66"/>
      <c r="N107" s="441"/>
      <c r="O107" s="66"/>
      <c r="P107" s="66"/>
      <c r="Q107" s="66"/>
      <c r="R107" s="66"/>
      <c r="S107" s="257"/>
      <c r="W107" s="549">
        <v>927</v>
      </c>
      <c r="X107" s="665"/>
      <c r="Y107" s="784"/>
      <c r="AC107" s="723">
        <v>82</v>
      </c>
      <c r="AD107" s="460"/>
      <c r="AE107" s="681">
        <f t="shared" si="28"/>
        <v>0</v>
      </c>
      <c r="AG107" s="548">
        <f t="shared" si="29"/>
        <v>0</v>
      </c>
      <c r="AH107" s="519"/>
      <c r="AI107" s="548">
        <f>IF($G$71&gt;0,#REF!,)</f>
        <v>0</v>
      </c>
      <c r="AJ107" s="548">
        <f t="shared" si="30"/>
        <v>0</v>
      </c>
    </row>
    <row r="108" spans="1:36" x14ac:dyDescent="0.25">
      <c r="A108" s="256"/>
      <c r="B108" s="78" t="s">
        <v>34</v>
      </c>
      <c r="C108" s="80" t="s">
        <v>461</v>
      </c>
      <c r="G108" s="961" t="str">
        <f>'T1'!$C$25</f>
        <v>Ler+</v>
      </c>
      <c r="H108" s="21"/>
      <c r="I108" s="21"/>
      <c r="L108" s="384"/>
      <c r="N108" s="251"/>
      <c r="R108" s="66"/>
      <c r="S108" s="257"/>
      <c r="W108" s="552">
        <v>936</v>
      </c>
      <c r="X108" s="623"/>
      <c r="Y108" s="784"/>
      <c r="AC108" s="723">
        <v>83</v>
      </c>
      <c r="AD108" s="460"/>
      <c r="AE108" s="681">
        <f t="shared" si="28"/>
        <v>0</v>
      </c>
      <c r="AG108" s="593">
        <f t="shared" si="29"/>
        <v>0</v>
      </c>
      <c r="AH108" s="519"/>
      <c r="AI108" s="548">
        <f>IF($G$71&gt;0,#REF!,)</f>
        <v>0</v>
      </c>
      <c r="AJ108" s="548">
        <f t="shared" si="30"/>
        <v>0</v>
      </c>
    </row>
    <row r="109" spans="1:36" ht="12.6" thickBot="1" x14ac:dyDescent="0.3">
      <c r="A109" s="256"/>
      <c r="C109" s="17" t="str">
        <f>'T1'!$S$1</f>
        <v>Cabo de Rede com Internet para 1 PC</v>
      </c>
      <c r="D109" s="80"/>
      <c r="E109" s="80"/>
      <c r="F109" s="21"/>
      <c r="G109" s="21"/>
      <c r="I109" s="223"/>
      <c r="J109" s="21"/>
      <c r="K109" s="21"/>
      <c r="L109" s="385">
        <v>411220</v>
      </c>
      <c r="M109" s="192"/>
      <c r="N109" s="435" t="str">
        <f>'T1'!$E$1</f>
        <v>unid.</v>
      </c>
      <c r="O109" s="21"/>
      <c r="P109" s="83">
        <f>$AD$2</f>
        <v>112.82</v>
      </c>
      <c r="Q109" s="24">
        <f>SUM(P109*M109)</f>
        <v>0</v>
      </c>
      <c r="R109" s="66"/>
      <c r="S109" s="257"/>
      <c r="W109" s="552">
        <v>945</v>
      </c>
      <c r="X109" s="623"/>
      <c r="Y109" s="784"/>
      <c r="AC109" s="723">
        <v>84</v>
      </c>
      <c r="AD109" s="460"/>
      <c r="AE109" s="681">
        <f t="shared" si="28"/>
        <v>0</v>
      </c>
      <c r="AH109" s="519"/>
      <c r="AI109" s="548">
        <f>IF($G$71&gt;0,#REF!,)</f>
        <v>0</v>
      </c>
      <c r="AJ109" s="548">
        <f t="shared" si="30"/>
        <v>0</v>
      </c>
    </row>
    <row r="110" spans="1:36" ht="12" x14ac:dyDescent="0.25">
      <c r="A110" s="256"/>
      <c r="C110" s="80"/>
      <c r="D110" s="80"/>
      <c r="E110" s="80"/>
      <c r="F110" s="21"/>
      <c r="G110" s="21"/>
      <c r="H110" s="21"/>
      <c r="I110" s="21"/>
      <c r="J110" s="21"/>
      <c r="K110" s="21"/>
      <c r="L110" s="167"/>
      <c r="M110" s="21"/>
      <c r="N110" s="21"/>
      <c r="O110" s="21"/>
      <c r="P110" s="21"/>
      <c r="Q110" s="24"/>
      <c r="R110" s="66"/>
      <c r="S110" s="257"/>
      <c r="W110" s="549">
        <v>954</v>
      </c>
      <c r="X110" s="665"/>
      <c r="Y110" s="784"/>
      <c r="AC110" s="723">
        <v>85</v>
      </c>
      <c r="AD110" s="460"/>
      <c r="AE110" s="681">
        <f t="shared" si="28"/>
        <v>0</v>
      </c>
      <c r="AH110" s="519"/>
      <c r="AI110" s="548">
        <f>IF($G$71&gt;0,#REF!,)</f>
        <v>0</v>
      </c>
      <c r="AJ110" s="548">
        <f t="shared" si="30"/>
        <v>0</v>
      </c>
    </row>
    <row r="111" spans="1:36" ht="12.6" thickBot="1" x14ac:dyDescent="0.3">
      <c r="A111" s="256"/>
      <c r="C111" s="17" t="str">
        <f>'T1'!$W$37</f>
        <v>Largura de Banda Extra para Internet</v>
      </c>
      <c r="D111" s="80"/>
      <c r="E111" s="80"/>
      <c r="F111" s="21"/>
      <c r="H111" s="21"/>
      <c r="I111" s="833"/>
      <c r="J111" s="834"/>
      <c r="L111" s="386">
        <f>$AB$85</f>
        <v>0</v>
      </c>
      <c r="M111" s="192"/>
      <c r="N111" s="435" t="str">
        <f>'T1'!$E$1</f>
        <v>unid.</v>
      </c>
      <c r="O111" s="21"/>
      <c r="P111" s="184">
        <f>AA$85</f>
        <v>0</v>
      </c>
      <c r="Q111" s="24">
        <f>SUM(P111*M111)</f>
        <v>0</v>
      </c>
      <c r="R111" s="66"/>
      <c r="S111" s="257"/>
      <c r="W111" s="549">
        <v>963</v>
      </c>
      <c r="X111" s="665"/>
      <c r="Y111" s="784"/>
      <c r="AC111" s="723">
        <v>86</v>
      </c>
      <c r="AD111" s="460"/>
      <c r="AE111" s="681">
        <f t="shared" si="28"/>
        <v>0</v>
      </c>
      <c r="AH111" s="519"/>
      <c r="AI111" s="548">
        <f>IF($G$71&gt;0,#REF!,)</f>
        <v>0</v>
      </c>
      <c r="AJ111" s="548">
        <f t="shared" si="30"/>
        <v>0</v>
      </c>
    </row>
    <row r="112" spans="1:36" ht="12" x14ac:dyDescent="0.25">
      <c r="A112" s="256"/>
      <c r="D112" s="66"/>
      <c r="E112" s="66"/>
      <c r="F112" s="66"/>
      <c r="H112" s="21"/>
      <c r="I112" s="66"/>
      <c r="K112" s="66"/>
      <c r="L112" s="795">
        <f>IF(M111&gt;0,0,IF(I111&gt;0,$U$11,))</f>
        <v>0</v>
      </c>
      <c r="M112" s="795"/>
      <c r="N112" s="795"/>
      <c r="O112" s="66"/>
      <c r="P112" s="66"/>
      <c r="Q112" s="66"/>
      <c r="R112" s="66"/>
      <c r="S112" s="257"/>
      <c r="W112" s="552">
        <v>972</v>
      </c>
      <c r="X112" s="623"/>
      <c r="Y112" s="784"/>
      <c r="AC112" s="723">
        <v>87</v>
      </c>
      <c r="AD112" s="460"/>
      <c r="AE112" s="681">
        <f t="shared" si="28"/>
        <v>0</v>
      </c>
      <c r="AH112" s="519"/>
      <c r="AI112" s="548">
        <f>IF($G$71&gt;0,#REF!,)</f>
        <v>0</v>
      </c>
      <c r="AJ112" s="548">
        <f t="shared" si="30"/>
        <v>0</v>
      </c>
    </row>
    <row r="113" spans="1:39" ht="12.6" thickBot="1" x14ac:dyDescent="0.3">
      <c r="A113" s="256"/>
      <c r="C113" s="31" t="str">
        <f>'T1'!$W$1</f>
        <v>Rede Wi-Fi Premium 5GHz  - 1 Dispositivo</v>
      </c>
      <c r="D113" s="80"/>
      <c r="E113" s="80"/>
      <c r="F113" s="21"/>
      <c r="G113" s="21"/>
      <c r="H113" s="21"/>
      <c r="I113" s="21"/>
      <c r="L113" s="160">
        <v>410830</v>
      </c>
      <c r="M113" s="192"/>
      <c r="N113" s="435" t="str">
        <f>'T1'!$E$1</f>
        <v>unid.</v>
      </c>
      <c r="O113" s="66"/>
      <c r="P113" s="86">
        <f>$AE$2</f>
        <v>15.53</v>
      </c>
      <c r="Q113" s="24">
        <f>SUM(P113*M113)</f>
        <v>0</v>
      </c>
      <c r="R113" s="66"/>
      <c r="S113" s="257"/>
      <c r="W113" s="552">
        <v>981</v>
      </c>
      <c r="X113" s="623"/>
      <c r="Y113" s="784"/>
      <c r="AC113" s="723">
        <v>88</v>
      </c>
      <c r="AD113" s="460"/>
      <c r="AE113" s="681">
        <f t="shared" si="28"/>
        <v>0</v>
      </c>
      <c r="AH113" s="519"/>
      <c r="AI113" s="548">
        <f>IF($G$71&gt;0,#REF!,)</f>
        <v>0</v>
      </c>
      <c r="AJ113" s="548">
        <f t="shared" si="30"/>
        <v>0</v>
      </c>
    </row>
    <row r="114" spans="1:39" ht="12" x14ac:dyDescent="0.25">
      <c r="A114" s="256"/>
      <c r="C114" s="31"/>
      <c r="D114" s="80"/>
      <c r="E114" s="80"/>
      <c r="F114" s="21"/>
      <c r="G114" s="21"/>
      <c r="H114" s="21"/>
      <c r="I114" s="21"/>
      <c r="L114" s="387"/>
      <c r="M114" s="140"/>
      <c r="N114" s="443"/>
      <c r="O114" s="66"/>
      <c r="P114" s="248"/>
      <c r="Q114" s="24"/>
      <c r="R114" s="66"/>
      <c r="S114" s="257"/>
      <c r="W114" s="549">
        <v>990</v>
      </c>
      <c r="X114" s="665"/>
      <c r="Y114" s="784"/>
      <c r="AC114" s="723">
        <v>89</v>
      </c>
      <c r="AD114" s="460"/>
      <c r="AE114" s="681">
        <f t="shared" si="28"/>
        <v>0</v>
      </c>
      <c r="AH114" s="519"/>
      <c r="AI114" s="548">
        <f>IF($G$71&gt;0,#REF!,)</f>
        <v>0</v>
      </c>
      <c r="AJ114" s="548">
        <f t="shared" si="30"/>
        <v>0</v>
      </c>
    </row>
    <row r="115" spans="1:39" ht="12.6" thickBot="1" x14ac:dyDescent="0.3">
      <c r="A115" s="256"/>
      <c r="C115" s="31" t="str">
        <f>'T1'!$W$2</f>
        <v>Rede Wi-Fi Premium 5GHz - 5 Dispositivos</v>
      </c>
      <c r="D115" s="80"/>
      <c r="E115" s="80"/>
      <c r="F115" s="21"/>
      <c r="G115" s="21"/>
      <c r="H115" s="21"/>
      <c r="I115" s="21"/>
      <c r="L115" s="160">
        <v>410831</v>
      </c>
      <c r="M115" s="192"/>
      <c r="N115" s="435" t="str">
        <f>'T1'!$E$1</f>
        <v>unid.</v>
      </c>
      <c r="O115" s="66"/>
      <c r="P115" s="86">
        <f>$AF$2</f>
        <v>62.1</v>
      </c>
      <c r="Q115" s="24">
        <f>SUM(P115*M115)</f>
        <v>0</v>
      </c>
      <c r="R115" s="66"/>
      <c r="S115" s="257"/>
      <c r="W115" s="549">
        <v>999</v>
      </c>
      <c r="X115" s="665"/>
      <c r="Y115" s="784"/>
      <c r="AC115" s="785">
        <v>90</v>
      </c>
      <c r="AD115" s="460"/>
      <c r="AE115" s="681">
        <f t="shared" si="28"/>
        <v>0</v>
      </c>
      <c r="AH115" s="519"/>
      <c r="AI115" s="548">
        <f>IF($G$71&gt;0,#REF!,)</f>
        <v>0</v>
      </c>
      <c r="AJ115" s="548">
        <f t="shared" si="30"/>
        <v>0</v>
      </c>
    </row>
    <row r="116" spans="1:39" ht="12" x14ac:dyDescent="0.25">
      <c r="A116" s="256"/>
      <c r="C116" s="31"/>
      <c r="D116" s="80"/>
      <c r="E116" s="80"/>
      <c r="F116" s="21"/>
      <c r="G116" s="21"/>
      <c r="H116" s="21"/>
      <c r="I116" s="21"/>
      <c r="L116" s="387"/>
      <c r="M116" s="140"/>
      <c r="N116" s="443"/>
      <c r="O116" s="66"/>
      <c r="P116" s="248"/>
      <c r="Q116" s="24"/>
      <c r="R116" s="66"/>
      <c r="S116" s="257"/>
      <c r="W116" s="552">
        <v>1008</v>
      </c>
      <c r="X116" s="623"/>
      <c r="Y116" s="784"/>
      <c r="AC116" s="460"/>
      <c r="AD116" s="460"/>
      <c r="AE116" s="681">
        <f t="shared" si="28"/>
        <v>0</v>
      </c>
      <c r="AH116" s="519"/>
      <c r="AI116" s="548">
        <f>IF($G$71&gt;0,#REF!,)</f>
        <v>0</v>
      </c>
      <c r="AJ116" s="548">
        <f t="shared" si="30"/>
        <v>0</v>
      </c>
      <c r="AK116" s="519"/>
    </row>
    <row r="117" spans="1:39" ht="12.6" thickBot="1" x14ac:dyDescent="0.3">
      <c r="A117" s="256"/>
      <c r="C117" s="31" t="str">
        <f>'T1'!$W$3</f>
        <v>Rede Wi-Fi Premium 5GHz - 50 Dispositivos</v>
      </c>
      <c r="D117" s="80"/>
      <c r="E117" s="80"/>
      <c r="F117" s="21"/>
      <c r="G117" s="21"/>
      <c r="H117" s="21"/>
      <c r="I117" s="21"/>
      <c r="K117" s="66"/>
      <c r="L117" s="160">
        <v>410832</v>
      </c>
      <c r="M117" s="192"/>
      <c r="N117" s="435" t="str">
        <f>'T1'!$E$1</f>
        <v>unid.</v>
      </c>
      <c r="O117" s="66"/>
      <c r="P117" s="83">
        <f>$AG$2</f>
        <v>521.64</v>
      </c>
      <c r="Q117" s="24">
        <f>SUM(P117*M117)</f>
        <v>0</v>
      </c>
      <c r="R117" s="66"/>
      <c r="S117" s="257"/>
      <c r="W117" s="552">
        <v>1017</v>
      </c>
      <c r="X117" s="623"/>
      <c r="Y117" s="784"/>
      <c r="AC117" s="460"/>
      <c r="AD117" s="460"/>
      <c r="AE117" s="681">
        <f t="shared" si="28"/>
        <v>0</v>
      </c>
      <c r="AH117" s="519"/>
      <c r="AI117" s="548">
        <f>IF($G$71&gt;0,#REF!,)</f>
        <v>0</v>
      </c>
      <c r="AJ117" s="548">
        <f t="shared" si="30"/>
        <v>0</v>
      </c>
      <c r="AK117" s="519"/>
    </row>
    <row r="118" spans="1:39" ht="12" x14ac:dyDescent="0.25">
      <c r="A118" s="256"/>
      <c r="C118" s="31"/>
      <c r="D118" s="80"/>
      <c r="E118" s="80"/>
      <c r="F118" s="21"/>
      <c r="G118" s="21"/>
      <c r="H118" s="21"/>
      <c r="I118" s="21"/>
      <c r="K118" s="66"/>
      <c r="L118" s="166"/>
      <c r="M118" s="140"/>
      <c r="N118" s="443"/>
      <c r="O118" s="66"/>
      <c r="P118" s="83"/>
      <c r="Q118" s="24"/>
      <c r="R118" s="66"/>
      <c r="S118" s="257"/>
      <c r="W118" s="549">
        <v>1026</v>
      </c>
      <c r="X118" s="665"/>
      <c r="Y118" s="784"/>
      <c r="AC118" s="460"/>
      <c r="AD118" s="460"/>
      <c r="AE118" s="681">
        <f t="shared" si="28"/>
        <v>0</v>
      </c>
      <c r="AH118" s="519"/>
      <c r="AI118" s="548">
        <f>IF($G$71&gt;0,#REF!,)</f>
        <v>0</v>
      </c>
      <c r="AJ118" s="548">
        <f t="shared" si="30"/>
        <v>0</v>
      </c>
      <c r="AK118" s="519"/>
    </row>
    <row r="119" spans="1:39" ht="12.6" thickBot="1" x14ac:dyDescent="0.3">
      <c r="A119" s="256"/>
      <c r="C119" s="31" t="str">
        <f>'T1'!$W$4</f>
        <v>Rede Wi-Fi Premium 5GHz - 100 Dispositivos</v>
      </c>
      <c r="D119" s="80"/>
      <c r="E119" s="80"/>
      <c r="F119" s="21"/>
      <c r="G119" s="21"/>
      <c r="H119" s="21"/>
      <c r="I119" s="21"/>
      <c r="K119" s="66"/>
      <c r="L119" s="160">
        <v>410833</v>
      </c>
      <c r="M119" s="192"/>
      <c r="N119" s="435" t="str">
        <f>'T1'!$E$1</f>
        <v>unid.</v>
      </c>
      <c r="O119" s="66"/>
      <c r="P119" s="83">
        <f>$AH$2</f>
        <v>938.75</v>
      </c>
      <c r="Q119" s="24">
        <f>SUM(P119*M119)</f>
        <v>0</v>
      </c>
      <c r="R119" s="66"/>
      <c r="S119" s="257"/>
      <c r="W119" s="549">
        <v>1035</v>
      </c>
      <c r="X119" s="665"/>
      <c r="Y119" s="784"/>
      <c r="AC119" s="460"/>
      <c r="AD119" s="460"/>
      <c r="AE119" s="681">
        <f t="shared" si="28"/>
        <v>0</v>
      </c>
      <c r="AH119" s="519"/>
      <c r="AI119" s="548">
        <f>IF($G$71&gt;0,#REF!,)</f>
        <v>0</v>
      </c>
      <c r="AJ119" s="548">
        <f t="shared" si="30"/>
        <v>0</v>
      </c>
      <c r="AK119" s="519"/>
      <c r="AM119" s="512"/>
    </row>
    <row r="120" spans="1:39" ht="12" x14ac:dyDescent="0.25">
      <c r="A120" s="256"/>
      <c r="C120" s="31"/>
      <c r="D120" s="80"/>
      <c r="E120" s="80"/>
      <c r="F120" s="21"/>
      <c r="G120" s="21"/>
      <c r="H120" s="21"/>
      <c r="I120" s="21"/>
      <c r="K120" s="66"/>
      <c r="L120" s="166"/>
      <c r="M120" s="140"/>
      <c r="N120" s="443"/>
      <c r="O120" s="66"/>
      <c r="P120" s="83"/>
      <c r="Q120" s="24"/>
      <c r="R120" s="66"/>
      <c r="S120" s="257"/>
      <c r="W120" s="552">
        <v>1044</v>
      </c>
      <c r="X120" s="623"/>
      <c r="Y120" s="784"/>
      <c r="AC120" s="460"/>
      <c r="AD120" s="460"/>
      <c r="AE120" s="681">
        <f t="shared" si="28"/>
        <v>0</v>
      </c>
      <c r="AH120" s="519"/>
      <c r="AI120" s="548">
        <f>IF($G$71&gt;0,#REF!,)</f>
        <v>0</v>
      </c>
      <c r="AJ120" s="548">
        <f t="shared" si="30"/>
        <v>0</v>
      </c>
      <c r="AK120" s="519"/>
      <c r="AM120" s="512"/>
    </row>
    <row r="121" spans="1:39" ht="12.6" thickBot="1" x14ac:dyDescent="0.3">
      <c r="A121" s="256"/>
      <c r="C121" s="31" t="str">
        <f>'T1'!$W$5</f>
        <v>Rede Wi-Fi Dedicada ao Stand - 50 Dispositivos</v>
      </c>
      <c r="D121" s="80"/>
      <c r="E121" s="80"/>
      <c r="F121" s="21"/>
      <c r="G121" s="21"/>
      <c r="H121" s="21"/>
      <c r="I121" s="21"/>
      <c r="K121" s="66"/>
      <c r="L121" s="160">
        <v>410834</v>
      </c>
      <c r="M121" s="192"/>
      <c r="N121" s="435" t="str">
        <f>'T1'!$E$1</f>
        <v>unid.</v>
      </c>
      <c r="O121" s="66"/>
      <c r="P121" s="86">
        <f>AI$2</f>
        <v>1863</v>
      </c>
      <c r="Q121" s="24">
        <f>SUM(P121*M121)</f>
        <v>0</v>
      </c>
      <c r="R121" s="66"/>
      <c r="S121" s="257"/>
      <c r="W121" s="552">
        <v>1053</v>
      </c>
      <c r="X121" s="623"/>
      <c r="Y121" s="784"/>
      <c r="AC121" s="460"/>
      <c r="AD121" s="460"/>
      <c r="AE121" s="681">
        <f t="shared" si="28"/>
        <v>0</v>
      </c>
      <c r="AH121" s="519"/>
      <c r="AI121" s="548">
        <f>IF($G$71&gt;0,#REF!,)</f>
        <v>0</v>
      </c>
      <c r="AJ121" s="548">
        <f t="shared" si="30"/>
        <v>0</v>
      </c>
      <c r="AK121" s="519"/>
      <c r="AM121" s="512"/>
    </row>
    <row r="122" spans="1:39" ht="12" x14ac:dyDescent="0.25">
      <c r="A122" s="256"/>
      <c r="C122" s="31"/>
      <c r="D122" s="80"/>
      <c r="E122" s="80"/>
      <c r="F122" s="21"/>
      <c r="G122" s="21"/>
      <c r="H122" s="21"/>
      <c r="I122" s="21"/>
      <c r="K122" s="66"/>
      <c r="L122" s="166"/>
      <c r="M122" s="140"/>
      <c r="N122" s="443"/>
      <c r="O122" s="66"/>
      <c r="P122" s="83"/>
      <c r="Q122" s="24"/>
      <c r="R122" s="66"/>
      <c r="S122" s="257"/>
      <c r="W122" s="549">
        <v>1062</v>
      </c>
      <c r="X122" s="665"/>
      <c r="Y122" s="784"/>
      <c r="AC122" s="460"/>
      <c r="AD122" s="460"/>
      <c r="AE122" s="681">
        <f t="shared" ref="AE122:AE153" si="31">IF($H$18&gt;0,W101,)</f>
        <v>0</v>
      </c>
      <c r="AH122" s="519"/>
      <c r="AI122" s="548">
        <f>IF($G$71&gt;0,#REF!,)</f>
        <v>0</v>
      </c>
      <c r="AJ122" s="548">
        <f t="shared" ref="AJ122:AJ153" si="32">IF($G$73&gt;0,W101,)</f>
        <v>0</v>
      </c>
      <c r="AK122" s="519"/>
      <c r="AM122" s="512"/>
    </row>
    <row r="123" spans="1:39" ht="13.8" thickBot="1" x14ac:dyDescent="0.3">
      <c r="A123" s="256"/>
      <c r="B123" s="78" t="s">
        <v>34</v>
      </c>
      <c r="C123" s="80" t="str">
        <f>'T1'!$S$41</f>
        <v>TV's    (incluí suporte regulável em altura)</v>
      </c>
      <c r="G123" s="961" t="str">
        <f>'T1'!$C$25</f>
        <v>Ler+</v>
      </c>
      <c r="I123" s="797"/>
      <c r="J123" s="799"/>
      <c r="K123" s="66"/>
      <c r="L123" s="159">
        <f>$AB$92</f>
        <v>0</v>
      </c>
      <c r="M123" s="192"/>
      <c r="N123" s="435" t="str">
        <f>'T1'!$E$1</f>
        <v>unid.</v>
      </c>
      <c r="P123" s="83">
        <f>$AA$92</f>
        <v>0</v>
      </c>
      <c r="Q123" s="24">
        <f>SUM(P123*M123)</f>
        <v>0</v>
      </c>
      <c r="R123" s="66"/>
      <c r="S123" s="257"/>
      <c r="W123" s="549">
        <v>1071</v>
      </c>
      <c r="X123" s="665"/>
      <c r="Y123" s="784"/>
      <c r="AC123" s="460"/>
      <c r="AD123" s="460"/>
      <c r="AE123" s="681">
        <f t="shared" si="31"/>
        <v>0</v>
      </c>
      <c r="AH123" s="519"/>
      <c r="AI123" s="548">
        <f>IF($G$71&gt;0,#REF!,)</f>
        <v>0</v>
      </c>
      <c r="AJ123" s="548">
        <f t="shared" si="32"/>
        <v>0</v>
      </c>
      <c r="AK123" s="519"/>
      <c r="AM123" s="512"/>
    </row>
    <row r="124" spans="1:39" ht="13.8" x14ac:dyDescent="0.25">
      <c r="A124" s="256"/>
      <c r="D124" s="66"/>
      <c r="E124" s="274"/>
      <c r="F124" s="274"/>
      <c r="G124" s="274"/>
      <c r="H124" s="66"/>
      <c r="I124" s="66"/>
      <c r="J124" s="66"/>
      <c r="K124" s="66"/>
      <c r="L124" s="795">
        <f>IF(M123&gt;0,0,IF(I123&gt;0,U11,))</f>
        <v>0</v>
      </c>
      <c r="M124" s="795"/>
      <c r="N124" s="795"/>
      <c r="P124" s="177"/>
      <c r="Q124" s="82"/>
      <c r="R124" s="66"/>
      <c r="S124" s="257"/>
      <c r="W124" s="552">
        <v>1080</v>
      </c>
      <c r="X124" s="623"/>
      <c r="Y124" s="784"/>
      <c r="AC124" s="460"/>
      <c r="AD124" s="460"/>
      <c r="AE124" s="681">
        <f t="shared" si="31"/>
        <v>0</v>
      </c>
      <c r="AH124" s="519"/>
      <c r="AI124" s="548">
        <f>IF($G$71&gt;0,#REF!,)</f>
        <v>0</v>
      </c>
      <c r="AJ124" s="548">
        <f t="shared" si="32"/>
        <v>0</v>
      </c>
      <c r="AK124" s="519"/>
      <c r="AM124" s="512"/>
    </row>
    <row r="125" spans="1:39" ht="12" x14ac:dyDescent="0.25">
      <c r="A125" s="256"/>
      <c r="D125" s="66"/>
      <c r="F125" s="66"/>
      <c r="G125" s="66"/>
      <c r="H125" s="66"/>
      <c r="I125" s="66"/>
      <c r="J125" s="66"/>
      <c r="K125" s="66"/>
      <c r="L125" s="233"/>
      <c r="M125" s="233"/>
      <c r="N125" s="233"/>
      <c r="P125" s="177"/>
      <c r="Q125" s="82"/>
      <c r="R125" s="66"/>
      <c r="S125" s="257"/>
      <c r="W125" s="552">
        <v>1089</v>
      </c>
      <c r="X125" s="623"/>
      <c r="Y125" s="784"/>
      <c r="AC125" s="460"/>
      <c r="AD125" s="460"/>
      <c r="AE125" s="681">
        <f t="shared" si="31"/>
        <v>0</v>
      </c>
      <c r="AH125" s="519"/>
      <c r="AI125" s="548">
        <f>IF($G$71&gt;0,#REF!,)</f>
        <v>0</v>
      </c>
      <c r="AJ125" s="548">
        <f t="shared" si="32"/>
        <v>0</v>
      </c>
      <c r="AK125" s="519"/>
      <c r="AM125" s="512"/>
    </row>
    <row r="126" spans="1:39" ht="12.6" thickBot="1" x14ac:dyDescent="0.3">
      <c r="A126" s="260"/>
      <c r="B126" s="227"/>
      <c r="C126" s="227"/>
      <c r="D126" s="232"/>
      <c r="E126" s="227"/>
      <c r="F126" s="232"/>
      <c r="G126" s="232"/>
      <c r="H126" s="232"/>
      <c r="I126" s="232"/>
      <c r="J126" s="232"/>
      <c r="K126" s="232"/>
      <c r="L126" s="266"/>
      <c r="M126" s="266"/>
      <c r="N126" s="266"/>
      <c r="O126" s="227"/>
      <c r="P126" s="267"/>
      <c r="Q126" s="234"/>
      <c r="R126" s="232"/>
      <c r="S126" s="261"/>
      <c r="W126" s="549">
        <v>1098</v>
      </c>
      <c r="X126" s="665"/>
      <c r="Y126" s="784"/>
      <c r="AC126" s="460"/>
      <c r="AD126" s="460"/>
      <c r="AE126" s="681">
        <f t="shared" si="31"/>
        <v>0</v>
      </c>
      <c r="AH126" s="519"/>
      <c r="AI126" s="548">
        <f>IF($G$71&gt;0,#REF!,)</f>
        <v>0</v>
      </c>
      <c r="AJ126" s="548">
        <f t="shared" si="32"/>
        <v>0</v>
      </c>
      <c r="AK126" s="519"/>
      <c r="AM126" s="512"/>
    </row>
    <row r="127" spans="1:39" ht="12" x14ac:dyDescent="0.25">
      <c r="A127" s="258"/>
      <c r="B127" s="228"/>
      <c r="C127" s="228"/>
      <c r="D127" s="229"/>
      <c r="E127" s="229"/>
      <c r="F127" s="229"/>
      <c r="G127" s="229"/>
      <c r="H127" s="229"/>
      <c r="I127" s="229"/>
      <c r="J127" s="229"/>
      <c r="K127" s="229"/>
      <c r="L127" s="231"/>
      <c r="M127" s="229"/>
      <c r="N127" s="229"/>
      <c r="O127" s="229"/>
      <c r="P127" s="229"/>
      <c r="Q127" s="230" t="s">
        <v>584</v>
      </c>
      <c r="R127" s="229"/>
      <c r="S127" s="259"/>
      <c r="W127" s="549">
        <v>1107</v>
      </c>
      <c r="X127" s="665"/>
      <c r="Y127" s="784"/>
      <c r="AC127" s="460"/>
      <c r="AD127" s="460"/>
      <c r="AE127" s="681">
        <f t="shared" si="31"/>
        <v>0</v>
      </c>
      <c r="AH127" s="519"/>
      <c r="AI127" s="548">
        <f>IF($G$71&gt;0,#REF!,)</f>
        <v>0</v>
      </c>
      <c r="AJ127" s="548">
        <f t="shared" si="32"/>
        <v>0</v>
      </c>
      <c r="AK127" s="519"/>
      <c r="AM127" s="512"/>
    </row>
    <row r="128" spans="1:39" ht="12" x14ac:dyDescent="0.25">
      <c r="A128" s="256"/>
      <c r="C128" s="17" t="str">
        <f>'T1'!$I$16</f>
        <v>Nome da Empresa Expositora:</v>
      </c>
      <c r="D128" s="66"/>
      <c r="G128" s="794">
        <f>$F$11</f>
        <v>0</v>
      </c>
      <c r="H128" s="794"/>
      <c r="I128" s="794"/>
      <c r="J128" s="794"/>
      <c r="K128" s="794"/>
      <c r="L128" s="794"/>
      <c r="M128" s="794"/>
      <c r="N128" s="794"/>
      <c r="O128" s="794"/>
      <c r="P128" s="794"/>
      <c r="Q128" s="794"/>
      <c r="R128" s="66"/>
      <c r="S128" s="257"/>
      <c r="W128" s="552">
        <v>1116</v>
      </c>
      <c r="X128" s="623"/>
      <c r="Y128" s="784"/>
      <c r="AC128" s="460"/>
      <c r="AD128" s="460"/>
      <c r="AE128" s="681">
        <f t="shared" si="31"/>
        <v>0</v>
      </c>
      <c r="AH128" s="519"/>
      <c r="AI128" s="548">
        <f>IF($G$71&gt;0,#REF!,)</f>
        <v>0</v>
      </c>
      <c r="AJ128" s="548">
        <f t="shared" si="32"/>
        <v>0</v>
      </c>
      <c r="AK128" s="519"/>
      <c r="AM128" s="512"/>
    </row>
    <row r="129" spans="1:39" ht="13.2" customHeight="1" thickBot="1" x14ac:dyDescent="0.3">
      <c r="A129" s="260"/>
      <c r="B129" s="227"/>
      <c r="C129" s="227"/>
      <c r="D129" s="227"/>
      <c r="E129" s="227"/>
      <c r="F129" s="227"/>
      <c r="G129" s="227"/>
      <c r="H129" s="227"/>
      <c r="I129" s="227"/>
      <c r="J129" s="227"/>
      <c r="K129" s="227"/>
      <c r="L129" s="227"/>
      <c r="M129" s="227"/>
      <c r="N129" s="227"/>
      <c r="O129" s="227"/>
      <c r="P129" s="227"/>
      <c r="Q129" s="227"/>
      <c r="R129" s="227"/>
      <c r="S129" s="261"/>
      <c r="W129" s="552">
        <v>1125</v>
      </c>
      <c r="X129" s="623"/>
      <c r="Y129" s="784"/>
      <c r="AC129" s="460"/>
      <c r="AD129" s="460"/>
      <c r="AE129" s="681">
        <f t="shared" si="31"/>
        <v>0</v>
      </c>
      <c r="AH129" s="519"/>
      <c r="AI129" s="548">
        <f>IF($G$71&gt;0,#REF!,)</f>
        <v>0</v>
      </c>
      <c r="AJ129" s="548">
        <f t="shared" si="32"/>
        <v>0</v>
      </c>
      <c r="AK129" s="519"/>
      <c r="AM129" s="512"/>
    </row>
    <row r="130" spans="1:39" ht="13.2" customHeight="1" x14ac:dyDescent="0.25">
      <c r="A130" s="256"/>
      <c r="S130" s="257"/>
      <c r="W130" s="549">
        <v>1134</v>
      </c>
      <c r="X130" s="665"/>
      <c r="Y130" s="784"/>
      <c r="AC130" s="460"/>
      <c r="AD130" s="460"/>
      <c r="AE130" s="681">
        <f t="shared" si="31"/>
        <v>0</v>
      </c>
      <c r="AH130" s="519"/>
      <c r="AI130" s="548">
        <f>IF($G$71&gt;0,#REF!,)</f>
        <v>0</v>
      </c>
      <c r="AJ130" s="548">
        <f t="shared" si="32"/>
        <v>0</v>
      </c>
      <c r="AK130" s="519"/>
      <c r="AM130" s="512"/>
    </row>
    <row r="131" spans="1:39" x14ac:dyDescent="0.25">
      <c r="A131" s="256"/>
      <c r="B131" s="78" t="s">
        <v>34</v>
      </c>
      <c r="C131" s="80" t="str">
        <f>'T1'!$G$6</f>
        <v>HOSPEDEIRAS</v>
      </c>
      <c r="D131" s="66"/>
      <c r="E131" s="961" t="str">
        <f>'T1'!$C$25</f>
        <v>Ler+</v>
      </c>
      <c r="J131" s="66"/>
      <c r="L131" s="247"/>
      <c r="M131" s="177" t="str">
        <f>'T1'!$C$40</f>
        <v>Quant.</v>
      </c>
      <c r="P131" s="177" t="s">
        <v>2</v>
      </c>
      <c r="Q131" s="82" t="str">
        <f>'T1'!$K$11</f>
        <v>Valor</v>
      </c>
      <c r="R131" s="66"/>
      <c r="S131" s="257"/>
      <c r="W131" s="549">
        <v>1143</v>
      </c>
      <c r="X131" s="665"/>
      <c r="Y131" s="784"/>
      <c r="AC131" s="460"/>
      <c r="AD131" s="460"/>
      <c r="AE131" s="681">
        <f t="shared" si="31"/>
        <v>0</v>
      </c>
      <c r="AH131" s="519"/>
      <c r="AI131" s="548">
        <f>IF($G$71&gt;0,#REF!,)</f>
        <v>0</v>
      </c>
      <c r="AJ131" s="548">
        <f t="shared" si="32"/>
        <v>0</v>
      </c>
      <c r="AK131" s="519"/>
      <c r="AM131" s="512"/>
    </row>
    <row r="132" spans="1:39" ht="12.6" thickBot="1" x14ac:dyDescent="0.3">
      <c r="A132" s="256"/>
      <c r="C132" s="17" t="str">
        <f>'T1'!$M$31</f>
        <v>Português + 1 Idioma</v>
      </c>
      <c r="D132" s="66"/>
      <c r="E132" s="66"/>
      <c r="F132" s="801"/>
      <c r="G132" s="802"/>
      <c r="H132" s="803"/>
      <c r="J132" s="189"/>
      <c r="K132" s="84" t="str">
        <f>'T1'!$E$1</f>
        <v>unid.</v>
      </c>
      <c r="L132" s="430" t="s">
        <v>330</v>
      </c>
      <c r="M132" s="192"/>
      <c r="N132" s="251" t="str">
        <f>'T1'!$C$30</f>
        <v xml:space="preserve"> Horas</v>
      </c>
      <c r="P132" s="248">
        <v>13.04</v>
      </c>
      <c r="Q132" s="24">
        <f>SUM(M132*J132)*P132</f>
        <v>0</v>
      </c>
      <c r="R132" s="66"/>
      <c r="S132" s="257"/>
      <c r="W132" s="552">
        <v>1152</v>
      </c>
      <c r="X132" s="623"/>
      <c r="Y132" s="784"/>
      <c r="AC132" s="460"/>
      <c r="AD132" s="460"/>
      <c r="AE132" s="681">
        <f t="shared" si="31"/>
        <v>0</v>
      </c>
      <c r="AH132" s="519"/>
      <c r="AI132" s="548">
        <f>IF($G$71&gt;0,#REF!,)</f>
        <v>0</v>
      </c>
      <c r="AJ132" s="548">
        <f t="shared" si="32"/>
        <v>0</v>
      </c>
      <c r="AK132" s="519"/>
      <c r="AM132" s="512"/>
    </row>
    <row r="133" spans="1:39" ht="12" x14ac:dyDescent="0.25">
      <c r="A133" s="256"/>
      <c r="D133" s="66"/>
      <c r="E133" s="66"/>
      <c r="F133" s="66"/>
      <c r="G133" s="66"/>
      <c r="H133" s="66"/>
      <c r="I133" s="66"/>
      <c r="J133" s="795">
        <f>IF($M$132&gt;0,0,IF($F$132&gt;0,$U$21,))</f>
        <v>0</v>
      </c>
      <c r="K133" s="795"/>
      <c r="L133" s="795"/>
      <c r="M133" s="795"/>
      <c r="N133" s="93"/>
      <c r="P133" s="248"/>
      <c r="Q133" s="82"/>
      <c r="R133" s="66"/>
      <c r="S133" s="257"/>
      <c r="W133" s="552">
        <v>1161</v>
      </c>
      <c r="X133" s="623"/>
      <c r="Y133" s="784"/>
      <c r="AC133" s="460"/>
      <c r="AD133" s="460"/>
      <c r="AE133" s="681">
        <f t="shared" si="31"/>
        <v>0</v>
      </c>
      <c r="AH133" s="519"/>
      <c r="AI133" s="548">
        <f>IF($G$71&gt;0,#REF!,)</f>
        <v>0</v>
      </c>
      <c r="AJ133" s="548">
        <f t="shared" si="32"/>
        <v>0</v>
      </c>
      <c r="AK133" s="519"/>
      <c r="AM133" s="512"/>
    </row>
    <row r="134" spans="1:39" ht="13.2" customHeight="1" thickBot="1" x14ac:dyDescent="0.3">
      <c r="A134" s="256"/>
      <c r="C134" s="17" t="str">
        <f>'T1'!$M$36</f>
        <v>Português + 2 Idiomas</v>
      </c>
      <c r="D134" s="66"/>
      <c r="E134" s="66"/>
      <c r="F134" s="801"/>
      <c r="G134" s="802"/>
      <c r="H134" s="803"/>
      <c r="J134" s="189"/>
      <c r="K134" s="84" t="str">
        <f>'T1'!$E$1</f>
        <v>unid.</v>
      </c>
      <c r="L134" s="430" t="s">
        <v>331</v>
      </c>
      <c r="M134" s="192"/>
      <c r="N134" s="251" t="str">
        <f>'T1'!$C$30</f>
        <v xml:space="preserve"> Horas</v>
      </c>
      <c r="P134" s="248">
        <v>14.14</v>
      </c>
      <c r="Q134" s="24">
        <f>SUM(M134*J134)*P134</f>
        <v>0</v>
      </c>
      <c r="R134" s="66"/>
      <c r="S134" s="257"/>
      <c r="W134" s="549">
        <v>1170</v>
      </c>
      <c r="X134" s="665"/>
      <c r="Y134" s="784"/>
      <c r="AC134" s="460"/>
      <c r="AD134" s="460"/>
      <c r="AE134" s="681">
        <f t="shared" si="31"/>
        <v>0</v>
      </c>
      <c r="AH134" s="519"/>
      <c r="AI134" s="548">
        <f>IF($G$71&gt;0,#REF!,)</f>
        <v>0</v>
      </c>
      <c r="AJ134" s="548">
        <f t="shared" si="32"/>
        <v>0</v>
      </c>
      <c r="AK134" s="519"/>
      <c r="AM134" s="512"/>
    </row>
    <row r="135" spans="1:39" ht="13.2" customHeight="1" x14ac:dyDescent="0.25">
      <c r="A135" s="256"/>
      <c r="D135" s="66"/>
      <c r="E135" s="66"/>
      <c r="F135" s="66"/>
      <c r="G135" s="66"/>
      <c r="H135" s="66"/>
      <c r="I135" s="66"/>
      <c r="J135" s="795">
        <f>IF($M$134&gt;0,0,IF($F$134&gt;0,$U$21,))</f>
        <v>0</v>
      </c>
      <c r="K135" s="795"/>
      <c r="L135" s="795"/>
      <c r="M135" s="795"/>
      <c r="N135" s="93"/>
      <c r="P135" s="248"/>
      <c r="Q135" s="82"/>
      <c r="R135" s="66"/>
      <c r="S135" s="257"/>
      <c r="W135" s="549">
        <v>1179</v>
      </c>
      <c r="X135" s="665"/>
      <c r="Y135" s="784"/>
      <c r="AC135" s="460"/>
      <c r="AD135" s="460"/>
      <c r="AE135" s="681">
        <f t="shared" si="31"/>
        <v>0</v>
      </c>
      <c r="AH135" s="519"/>
      <c r="AI135" s="548">
        <f>IF($G$71&gt;0,#REF!,)</f>
        <v>0</v>
      </c>
      <c r="AJ135" s="548">
        <f t="shared" si="32"/>
        <v>0</v>
      </c>
      <c r="AK135" s="519"/>
      <c r="AM135" s="512"/>
    </row>
    <row r="136" spans="1:39" ht="13.2" customHeight="1" thickBot="1" x14ac:dyDescent="0.3">
      <c r="A136" s="256"/>
      <c r="D136" s="248" t="str">
        <f>'T1'!$E$16</f>
        <v>Outro</v>
      </c>
      <c r="E136" s="842"/>
      <c r="F136" s="842"/>
      <c r="G136" s="842"/>
      <c r="H136" s="66"/>
      <c r="I136" s="17" t="str">
        <f>'T1'!$E$21</f>
        <v>Observações:</v>
      </c>
      <c r="J136" s="66"/>
      <c r="K136" s="861"/>
      <c r="L136" s="861"/>
      <c r="M136" s="861"/>
      <c r="N136" s="861"/>
      <c r="O136" s="861"/>
      <c r="P136" s="861"/>
      <c r="Q136" s="861"/>
      <c r="R136" s="66"/>
      <c r="S136" s="257"/>
      <c r="W136" s="552">
        <v>1188</v>
      </c>
      <c r="X136" s="623"/>
      <c r="Y136" s="784"/>
      <c r="AC136" s="460"/>
      <c r="AD136" s="460"/>
      <c r="AE136" s="681">
        <f t="shared" si="31"/>
        <v>0</v>
      </c>
      <c r="AH136" s="519"/>
      <c r="AI136" s="548">
        <f>IF($G$71&gt;0,#REF!,)</f>
        <v>0</v>
      </c>
      <c r="AJ136" s="548">
        <f t="shared" si="32"/>
        <v>0</v>
      </c>
      <c r="AK136" s="519"/>
      <c r="AM136" s="512"/>
    </row>
    <row r="137" spans="1:39" ht="13.2" customHeight="1" x14ac:dyDescent="0.25">
      <c r="A137" s="256"/>
      <c r="D137" s="66"/>
      <c r="E137" s="66"/>
      <c r="F137" s="66"/>
      <c r="G137" s="66"/>
      <c r="H137" s="66"/>
      <c r="I137" s="66"/>
      <c r="J137" s="66"/>
      <c r="K137" s="247"/>
      <c r="L137" s="247"/>
      <c r="M137" s="247"/>
      <c r="N137" s="80"/>
      <c r="P137" s="248"/>
      <c r="Q137" s="82"/>
      <c r="R137" s="66"/>
      <c r="S137" s="257"/>
      <c r="W137" s="552">
        <v>1197</v>
      </c>
      <c r="X137" s="623"/>
      <c r="Y137" s="784"/>
      <c r="AC137" s="460"/>
      <c r="AD137" s="460"/>
      <c r="AE137" s="681">
        <f t="shared" si="31"/>
        <v>0</v>
      </c>
      <c r="AH137" s="519"/>
      <c r="AI137" s="548">
        <f>IF($G$71&gt;0,#REF!,)</f>
        <v>0</v>
      </c>
      <c r="AJ137" s="548">
        <f t="shared" si="32"/>
        <v>0</v>
      </c>
      <c r="AK137" s="519"/>
      <c r="AM137" s="512"/>
    </row>
    <row r="138" spans="1:39" ht="13.2" customHeight="1" thickBot="1" x14ac:dyDescent="0.3">
      <c r="A138" s="256"/>
      <c r="B138" s="78" t="s">
        <v>34</v>
      </c>
      <c r="C138" s="80" t="str">
        <f>'T1'!$O$11</f>
        <v xml:space="preserve">VIGILÂNCIA </v>
      </c>
      <c r="D138" s="66"/>
      <c r="E138" s="66"/>
      <c r="F138" s="961" t="str">
        <f>'T1'!$C$25</f>
        <v>Ler+</v>
      </c>
      <c r="G138" s="66"/>
      <c r="H138" s="66"/>
      <c r="I138" s="192"/>
      <c r="J138" s="84" t="str">
        <f>'T1'!$E$1</f>
        <v>unid.</v>
      </c>
      <c r="L138" s="161" t="s">
        <v>332</v>
      </c>
      <c r="M138" s="193"/>
      <c r="N138" s="251" t="str">
        <f>'T1'!$C$30</f>
        <v xml:space="preserve"> Horas</v>
      </c>
      <c r="P138" s="147">
        <v>18.36</v>
      </c>
      <c r="Q138" s="24">
        <f>SUM(M138*I138)*P138</f>
        <v>0</v>
      </c>
      <c r="R138" s="66"/>
      <c r="S138" s="257"/>
      <c r="W138" s="549">
        <v>1206</v>
      </c>
      <c r="X138" s="665"/>
      <c r="Y138" s="784"/>
      <c r="AC138" s="460"/>
      <c r="AD138" s="460"/>
      <c r="AE138" s="681">
        <f t="shared" si="31"/>
        <v>0</v>
      </c>
      <c r="AH138" s="519"/>
      <c r="AI138" s="548">
        <f>IF($G$71&gt;0,#REF!,)</f>
        <v>0</v>
      </c>
      <c r="AJ138" s="548">
        <f t="shared" si="32"/>
        <v>0</v>
      </c>
      <c r="AK138" s="519"/>
      <c r="AM138" s="512"/>
    </row>
    <row r="139" spans="1:39" ht="13.2" customHeight="1" x14ac:dyDescent="0.25">
      <c r="A139" s="256"/>
      <c r="D139" s="66"/>
      <c r="E139" s="66"/>
      <c r="F139" s="66"/>
      <c r="G139" s="66"/>
      <c r="H139" s="66"/>
      <c r="I139" s="66"/>
      <c r="J139" s="66"/>
      <c r="K139" s="247"/>
      <c r="L139" s="795">
        <f>IF($M$138&gt;0,0,IF($I$138&gt;0,$U$11,))</f>
        <v>0</v>
      </c>
      <c r="M139" s="795"/>
      <c r="N139" s="795"/>
      <c r="P139" s="248"/>
      <c r="Q139" s="82"/>
      <c r="R139" s="66"/>
      <c r="S139" s="257"/>
      <c r="W139" s="549">
        <v>1215</v>
      </c>
      <c r="X139" s="665"/>
      <c r="Y139" s="784"/>
      <c r="AC139" s="460"/>
      <c r="AD139" s="460"/>
      <c r="AE139" s="681">
        <f t="shared" si="31"/>
        <v>0</v>
      </c>
      <c r="AH139" s="519"/>
      <c r="AI139" s="548">
        <f>IF($G$71&gt;0,#REF!,)</f>
        <v>0</v>
      </c>
      <c r="AJ139" s="548">
        <f t="shared" si="32"/>
        <v>0</v>
      </c>
      <c r="AK139" s="519"/>
      <c r="AM139" s="512"/>
    </row>
    <row r="140" spans="1:39" ht="13.2" customHeight="1" thickBot="1" x14ac:dyDescent="0.3">
      <c r="A140" s="256"/>
      <c r="C140" s="791" t="str">
        <f>'T1'!$E$21</f>
        <v>Observações:</v>
      </c>
      <c r="D140" s="791"/>
      <c r="E140" s="842"/>
      <c r="F140" s="842"/>
      <c r="G140" s="842"/>
      <c r="H140" s="842"/>
      <c r="I140" s="842"/>
      <c r="J140" s="842"/>
      <c r="K140" s="842"/>
      <c r="L140" s="842"/>
      <c r="M140" s="842"/>
      <c r="N140" s="842"/>
      <c r="O140" s="842"/>
      <c r="P140" s="842"/>
      <c r="Q140" s="842"/>
      <c r="R140" s="66"/>
      <c r="S140" s="257"/>
      <c r="W140" s="552">
        <v>1224</v>
      </c>
      <c r="X140" s="623"/>
      <c r="Y140" s="784"/>
      <c r="AC140" s="460"/>
      <c r="AD140" s="460"/>
      <c r="AE140" s="681">
        <f t="shared" si="31"/>
        <v>0</v>
      </c>
      <c r="AH140" s="519"/>
      <c r="AI140" s="548">
        <f>IF($G$71&gt;0,#REF!,)</f>
        <v>0</v>
      </c>
      <c r="AJ140" s="548">
        <f t="shared" si="32"/>
        <v>0</v>
      </c>
      <c r="AK140" s="519"/>
      <c r="AM140" s="512"/>
    </row>
    <row r="141" spans="1:39" ht="13.2" customHeight="1" x14ac:dyDescent="0.25">
      <c r="A141" s="256"/>
      <c r="D141" s="66"/>
      <c r="E141" s="66"/>
      <c r="F141" s="66"/>
      <c r="G141" s="66"/>
      <c r="H141" s="66"/>
      <c r="I141" s="66"/>
      <c r="J141" s="66"/>
      <c r="K141" s="247"/>
      <c r="L141" s="247"/>
      <c r="M141" s="247"/>
      <c r="N141" s="247"/>
      <c r="P141" s="248"/>
      <c r="Q141" s="82"/>
      <c r="R141" s="66"/>
      <c r="S141" s="257"/>
      <c r="W141" s="552">
        <v>1233</v>
      </c>
      <c r="X141" s="623"/>
      <c r="Y141" s="784"/>
      <c r="AC141" s="460"/>
      <c r="AD141" s="460"/>
      <c r="AE141" s="681">
        <f t="shared" si="31"/>
        <v>0</v>
      </c>
      <c r="AH141" s="519"/>
      <c r="AI141" s="548">
        <f>IF($G$71&gt;0,#REF!,)</f>
        <v>0</v>
      </c>
      <c r="AJ141" s="548">
        <f t="shared" si="32"/>
        <v>0</v>
      </c>
      <c r="AK141" s="519"/>
      <c r="AM141" s="512"/>
    </row>
    <row r="142" spans="1:39" ht="13.2" customHeight="1" thickBot="1" x14ac:dyDescent="0.3">
      <c r="A142" s="256"/>
      <c r="B142" s="78" t="s">
        <v>34</v>
      </c>
      <c r="C142" s="80" t="str">
        <f>'T1'!$G$16</f>
        <v>LIMPEZA DE STAND</v>
      </c>
      <c r="D142" s="80"/>
      <c r="E142" s="80"/>
      <c r="F142" s="80"/>
      <c r="G142" s="961" t="str">
        <f>'T1'!$C$25</f>
        <v>Ler+</v>
      </c>
      <c r="H142" s="66"/>
      <c r="J142" s="66"/>
      <c r="K142" s="66"/>
      <c r="L142" s="164" t="s">
        <v>86</v>
      </c>
      <c r="M142" s="190"/>
      <c r="N142" s="251" t="s">
        <v>9</v>
      </c>
      <c r="O142" s="66"/>
      <c r="P142" s="83">
        <f>$AI$12</f>
        <v>3.97</v>
      </c>
      <c r="Q142" s="24">
        <f>SUM(P142*M142)</f>
        <v>0</v>
      </c>
      <c r="R142" s="66"/>
      <c r="S142" s="257"/>
      <c r="W142" s="549">
        <v>1242</v>
      </c>
      <c r="X142" s="665"/>
      <c r="Y142" s="784"/>
      <c r="AC142" s="460"/>
      <c r="AD142" s="460"/>
      <c r="AE142" s="681">
        <f t="shared" si="31"/>
        <v>0</v>
      </c>
      <c r="AH142" s="519"/>
      <c r="AI142" s="548">
        <f>IF($G$71&gt;0,#REF!,)</f>
        <v>0</v>
      </c>
      <c r="AJ142" s="548">
        <f t="shared" si="32"/>
        <v>0</v>
      </c>
      <c r="AK142" s="519"/>
      <c r="AM142" s="512"/>
    </row>
    <row r="143" spans="1:39" ht="13.2" customHeight="1" x14ac:dyDescent="0.25">
      <c r="A143" s="256"/>
      <c r="D143" s="66"/>
      <c r="E143" s="66"/>
      <c r="F143" s="66"/>
      <c r="G143" s="89"/>
      <c r="H143" s="89"/>
      <c r="I143" s="66"/>
      <c r="J143" s="66"/>
      <c r="K143" s="66"/>
      <c r="L143" s="136"/>
      <c r="M143" s="136"/>
      <c r="N143" s="444"/>
      <c r="O143" s="66"/>
      <c r="P143" s="83"/>
      <c r="Q143" s="24"/>
      <c r="R143" s="66"/>
      <c r="S143" s="257"/>
      <c r="W143" s="549">
        <v>1251</v>
      </c>
      <c r="X143" s="665"/>
      <c r="Y143" s="784"/>
      <c r="AC143" s="460"/>
      <c r="AD143" s="460"/>
      <c r="AE143" s="681">
        <f t="shared" si="31"/>
        <v>0</v>
      </c>
      <c r="AH143" s="519"/>
      <c r="AI143" s="548">
        <f>IF($G$71&gt;0,#REF!,)</f>
        <v>0</v>
      </c>
      <c r="AJ143" s="548">
        <f t="shared" si="32"/>
        <v>0</v>
      </c>
      <c r="AK143" s="519"/>
      <c r="AM143" s="512"/>
    </row>
    <row r="144" spans="1:39" ht="13.2" customHeight="1" thickBot="1" x14ac:dyDescent="0.3">
      <c r="A144" s="256"/>
      <c r="B144" s="78" t="s">
        <v>34</v>
      </c>
      <c r="C144" s="80" t="str">
        <f>'T1'!$I$21</f>
        <v>CONTENTOR PARA LIXO DESMONTAGEM</v>
      </c>
      <c r="D144" s="66"/>
      <c r="E144" s="66"/>
      <c r="G144" s="961" t="str">
        <f>'T1'!$C$25</f>
        <v>Ler+</v>
      </c>
      <c r="I144" s="797"/>
      <c r="J144" s="799"/>
      <c r="K144" s="248"/>
      <c r="L144" s="389">
        <f>$AB$63</f>
        <v>0</v>
      </c>
      <c r="M144" s="192"/>
      <c r="N144" s="435" t="str">
        <f>'T1'!$E$1</f>
        <v>unid.</v>
      </c>
      <c r="P144" s="62">
        <f>$AA$63</f>
        <v>0</v>
      </c>
      <c r="Q144" s="41">
        <f>SUM(P144)*M144</f>
        <v>0</v>
      </c>
      <c r="R144" s="66"/>
      <c r="S144" s="257"/>
      <c r="W144" s="552">
        <v>1260</v>
      </c>
      <c r="X144" s="653"/>
      <c r="Y144" s="784"/>
      <c r="AC144" s="460"/>
      <c r="AD144" s="460"/>
      <c r="AE144" s="681">
        <f t="shared" si="31"/>
        <v>0</v>
      </c>
      <c r="AH144" s="519"/>
      <c r="AI144" s="548">
        <f>IF($G$71&gt;0,#REF!,)</f>
        <v>0</v>
      </c>
      <c r="AJ144" s="548">
        <f t="shared" si="32"/>
        <v>0</v>
      </c>
      <c r="AK144" s="519"/>
      <c r="AM144" s="512"/>
    </row>
    <row r="145" spans="1:39" ht="13.2" customHeight="1" x14ac:dyDescent="0.25">
      <c r="A145" s="256"/>
      <c r="D145" s="66"/>
      <c r="E145" s="66"/>
      <c r="F145" s="66"/>
      <c r="G145" s="89"/>
      <c r="H145" s="89"/>
      <c r="K145" s="88"/>
      <c r="L145" s="835">
        <f>IF($M$144&gt;0,0,IF($I$144&gt;0,$U$11,))</f>
        <v>0</v>
      </c>
      <c r="M145" s="835"/>
      <c r="N145" s="835"/>
      <c r="R145" s="66"/>
      <c r="S145" s="257"/>
      <c r="W145" s="552">
        <v>1269</v>
      </c>
      <c r="X145" s="653"/>
      <c r="Y145" s="784"/>
      <c r="AC145" s="460"/>
      <c r="AD145" s="460"/>
      <c r="AE145" s="681">
        <f t="shared" si="31"/>
        <v>0</v>
      </c>
      <c r="AH145" s="519"/>
      <c r="AI145" s="548">
        <f>IF($G$71&gt;0,#REF!,)</f>
        <v>0</v>
      </c>
      <c r="AJ145" s="548">
        <f t="shared" si="32"/>
        <v>0</v>
      </c>
      <c r="AK145" s="519"/>
      <c r="AM145" s="512"/>
    </row>
    <row r="146" spans="1:39" ht="13.2" customHeight="1" thickBot="1" x14ac:dyDescent="0.3">
      <c r="A146" s="256"/>
      <c r="B146" s="78" t="s">
        <v>34</v>
      </c>
      <c r="C146" s="80" t="str">
        <f>'T1'!$I$26</f>
        <v>REMOÇÃO DE LIXOS POR M3     (Avulso)</v>
      </c>
      <c r="D146" s="66"/>
      <c r="E146" s="66"/>
      <c r="F146" s="66"/>
      <c r="G146" s="89"/>
      <c r="J146" s="66"/>
      <c r="L146" s="161" t="s">
        <v>334</v>
      </c>
      <c r="M146" s="192"/>
      <c r="N146" s="435" t="s">
        <v>335</v>
      </c>
      <c r="P146" s="83">
        <v>64.459999999999994</v>
      </c>
      <c r="Q146" s="24">
        <f>SUM(P146*M146)</f>
        <v>0</v>
      </c>
      <c r="R146" s="66"/>
      <c r="S146" s="257"/>
      <c r="W146" s="549">
        <v>1278</v>
      </c>
      <c r="X146" s="460"/>
      <c r="Y146" s="784"/>
      <c r="AC146" s="460"/>
      <c r="AD146" s="460"/>
      <c r="AE146" s="681">
        <f t="shared" si="31"/>
        <v>0</v>
      </c>
      <c r="AH146" s="519"/>
      <c r="AI146" s="548">
        <f>IF($G$71&gt;0,#REF!,)</f>
        <v>0</v>
      </c>
      <c r="AJ146" s="548">
        <f t="shared" si="32"/>
        <v>0</v>
      </c>
      <c r="AK146" s="519"/>
      <c r="AM146" s="512"/>
    </row>
    <row r="147" spans="1:39" ht="13.2" customHeight="1" x14ac:dyDescent="0.25">
      <c r="A147" s="256"/>
      <c r="D147" s="66"/>
      <c r="E147" s="66"/>
      <c r="H147" s="89"/>
      <c r="I147" s="66"/>
      <c r="J147" s="66"/>
      <c r="L147" s="245"/>
      <c r="N147" s="251"/>
      <c r="R147" s="66"/>
      <c r="S147" s="257"/>
      <c r="W147" s="549">
        <v>1287</v>
      </c>
      <c r="X147" s="460"/>
      <c r="Y147" s="784"/>
      <c r="AC147" s="460"/>
      <c r="AD147" s="460"/>
      <c r="AE147" s="681">
        <f t="shared" si="31"/>
        <v>0</v>
      </c>
      <c r="AH147" s="519"/>
      <c r="AI147" s="548">
        <f>IF($G$71&gt;0,#REF!,)</f>
        <v>0</v>
      </c>
      <c r="AJ147" s="548">
        <f t="shared" si="32"/>
        <v>0</v>
      </c>
      <c r="AK147" s="519"/>
      <c r="AM147" s="512"/>
    </row>
    <row r="148" spans="1:39" ht="13.2" customHeight="1" thickBot="1" x14ac:dyDescent="0.3">
      <c r="A148" s="256"/>
      <c r="B148" s="251" t="s">
        <v>34</v>
      </c>
      <c r="C148" s="80" t="str">
        <f>'T1'!$M$16</f>
        <v>PARQUE SUBTERRÂNEO</v>
      </c>
      <c r="D148" s="80"/>
      <c r="E148" s="80"/>
      <c r="F148" s="80"/>
      <c r="H148" s="961" t="str">
        <f>'T1'!$C$25</f>
        <v>Ler+</v>
      </c>
      <c r="I148" s="66"/>
      <c r="K148" s="66"/>
      <c r="L148" s="164" t="s">
        <v>87</v>
      </c>
      <c r="M148" s="192"/>
      <c r="N148" s="435" t="str">
        <f>'T1'!$E$1</f>
        <v>unid.</v>
      </c>
      <c r="O148" s="66"/>
      <c r="P148" s="83">
        <f>$AJ$12</f>
        <v>52.05</v>
      </c>
      <c r="Q148" s="24">
        <f>SUM(P148*M148)</f>
        <v>0</v>
      </c>
      <c r="R148" s="66"/>
      <c r="S148" s="257"/>
      <c r="W148" s="552">
        <v>1296</v>
      </c>
      <c r="X148" s="653"/>
      <c r="Y148" s="784"/>
      <c r="AC148" s="460"/>
      <c r="AD148" s="460"/>
      <c r="AE148" s="681">
        <f t="shared" si="31"/>
        <v>0</v>
      </c>
      <c r="AH148" s="519"/>
      <c r="AI148" s="548">
        <f>IF($G$71&gt;0,#REF!,)</f>
        <v>0</v>
      </c>
      <c r="AJ148" s="548">
        <f t="shared" si="32"/>
        <v>0</v>
      </c>
      <c r="AK148" s="519"/>
      <c r="AM148" s="512"/>
    </row>
    <row r="149" spans="1:39" ht="13.2" customHeight="1" x14ac:dyDescent="0.25">
      <c r="A149" s="256"/>
      <c r="D149" s="66"/>
      <c r="E149" s="66"/>
      <c r="F149" s="66"/>
      <c r="G149" s="66"/>
      <c r="H149" s="66"/>
      <c r="I149" s="66"/>
      <c r="J149" s="66"/>
      <c r="K149" s="66"/>
      <c r="L149" s="159"/>
      <c r="M149" s="66"/>
      <c r="N149" s="441"/>
      <c r="O149" s="66"/>
      <c r="P149" s="66"/>
      <c r="Q149" s="66"/>
      <c r="R149" s="66"/>
      <c r="S149" s="257"/>
      <c r="W149" s="552">
        <v>1305</v>
      </c>
      <c r="X149" s="653"/>
      <c r="Y149" s="784"/>
      <c r="AC149" s="460"/>
      <c r="AD149" s="460"/>
      <c r="AE149" s="681">
        <f t="shared" si="31"/>
        <v>0</v>
      </c>
      <c r="AH149" s="519"/>
      <c r="AI149" s="548">
        <f>IF($G$71&gt;0,#REF!,)</f>
        <v>0</v>
      </c>
      <c r="AJ149" s="548">
        <f t="shared" si="32"/>
        <v>0</v>
      </c>
      <c r="AK149" s="519"/>
      <c r="AM149" s="512"/>
    </row>
    <row r="150" spans="1:39" ht="13.2" customHeight="1" thickBot="1" x14ac:dyDescent="0.3">
      <c r="A150" s="256"/>
      <c r="B150" s="251" t="s">
        <v>34</v>
      </c>
      <c r="C150" s="80" t="str">
        <f>'T1'!$S$6</f>
        <v>BILHETES ELECTRÓNICOS</v>
      </c>
      <c r="D150" s="66"/>
      <c r="E150" s="66"/>
      <c r="F150" s="66"/>
      <c r="G150" s="66"/>
      <c r="H150" s="961" t="str">
        <f>'T1'!$C$25</f>
        <v>Ler+</v>
      </c>
      <c r="K150" s="66"/>
      <c r="L150" s="168">
        <v>411183</v>
      </c>
      <c r="M150" s="190"/>
      <c r="N150" s="435" t="str">
        <f>'T1'!$E$1</f>
        <v>unid.</v>
      </c>
      <c r="O150" s="66"/>
      <c r="P150" s="83">
        <f>'T1'!$C$15</f>
        <v>12.2</v>
      </c>
      <c r="Q150" s="24">
        <f>SUM(P150*M150)</f>
        <v>0</v>
      </c>
      <c r="R150" s="66"/>
      <c r="S150" s="257"/>
      <c r="W150" s="460"/>
      <c r="X150" s="460"/>
      <c r="Y150" s="784"/>
      <c r="AC150" s="460"/>
      <c r="AD150" s="460"/>
      <c r="AE150" s="681">
        <f t="shared" si="31"/>
        <v>0</v>
      </c>
      <c r="AH150" s="519"/>
      <c r="AI150" s="548">
        <f>IF($G$71&gt;0,#REF!,)</f>
        <v>0</v>
      </c>
      <c r="AJ150" s="548">
        <f t="shared" si="32"/>
        <v>0</v>
      </c>
      <c r="AK150" s="519"/>
      <c r="AM150" s="512"/>
    </row>
    <row r="151" spans="1:39" ht="13.2" customHeight="1" x14ac:dyDescent="0.25">
      <c r="A151" s="256"/>
      <c r="B151" s="251"/>
      <c r="C151" s="80"/>
      <c r="D151" s="66"/>
      <c r="E151" s="66"/>
      <c r="F151" s="66"/>
      <c r="G151" s="66"/>
      <c r="H151" s="66"/>
      <c r="I151" s="66"/>
      <c r="J151" s="66"/>
      <c r="K151" s="66"/>
      <c r="L151" s="66"/>
      <c r="M151" s="66"/>
      <c r="N151" s="66"/>
      <c r="O151" s="66"/>
      <c r="P151" s="83"/>
      <c r="Q151" s="24"/>
      <c r="R151" s="66"/>
      <c r="S151" s="257"/>
      <c r="W151" s="460"/>
      <c r="X151" s="460"/>
      <c r="Y151" s="784"/>
      <c r="AC151" s="460"/>
      <c r="AD151" s="460"/>
      <c r="AE151" s="681">
        <f t="shared" si="31"/>
        <v>0</v>
      </c>
      <c r="AH151" s="519"/>
      <c r="AI151" s="548">
        <f>IF($G$71&gt;0,#REF!,)</f>
        <v>0</v>
      </c>
      <c r="AJ151" s="548">
        <f t="shared" si="32"/>
        <v>0</v>
      </c>
      <c r="AK151" s="512"/>
      <c r="AM151" s="512"/>
    </row>
    <row r="152" spans="1:39" ht="13.2" customHeight="1" thickBot="1" x14ac:dyDescent="0.3">
      <c r="A152" s="256"/>
      <c r="B152" s="251"/>
      <c r="C152" s="80"/>
      <c r="D152" s="66"/>
      <c r="E152" s="66"/>
      <c r="F152" s="66"/>
      <c r="G152" s="66"/>
      <c r="H152" s="66"/>
      <c r="I152" s="66"/>
      <c r="J152" s="66"/>
      <c r="K152" s="66"/>
      <c r="L152" s="66"/>
      <c r="M152" s="66"/>
      <c r="N152" s="66"/>
      <c r="O152" s="66"/>
      <c r="P152" s="83"/>
      <c r="Q152" s="24"/>
      <c r="R152" s="66"/>
      <c r="S152" s="257"/>
      <c r="W152" s="460"/>
      <c r="X152" s="460"/>
      <c r="Y152" s="784"/>
      <c r="AC152" s="460"/>
      <c r="AD152" s="460"/>
      <c r="AE152" s="681">
        <f t="shared" si="31"/>
        <v>0</v>
      </c>
      <c r="AH152" s="519"/>
      <c r="AI152" s="548">
        <f>IF($G$71&gt;0,#REF!,)</f>
        <v>0</v>
      </c>
      <c r="AJ152" s="548">
        <f t="shared" si="32"/>
        <v>0</v>
      </c>
      <c r="AK152" s="519"/>
      <c r="AM152" s="512"/>
    </row>
    <row r="153" spans="1:39" ht="13.2" customHeight="1" x14ac:dyDescent="0.25">
      <c r="A153" s="256"/>
      <c r="E153" s="237"/>
      <c r="F153" s="228"/>
      <c r="G153" s="228"/>
      <c r="H153" s="872" t="s">
        <v>473</v>
      </c>
      <c r="I153" s="872"/>
      <c r="J153" s="871" t="str">
        <f>'T1'!$G$26</f>
        <v>IVA (ler Normas)</v>
      </c>
      <c r="K153" s="871"/>
      <c r="L153" s="871"/>
      <c r="M153" s="872" t="s">
        <v>23</v>
      </c>
      <c r="N153" s="872"/>
      <c r="O153" s="238"/>
      <c r="S153" s="257"/>
      <c r="W153" s="460"/>
      <c r="X153" s="460"/>
      <c r="Y153" s="784"/>
      <c r="AC153" s="460"/>
      <c r="AD153" s="460"/>
      <c r="AE153" s="681">
        <f t="shared" si="31"/>
        <v>0</v>
      </c>
      <c r="AH153" s="519"/>
      <c r="AI153" s="548">
        <f>IF($G$71&gt;0,#REF!,)</f>
        <v>0</v>
      </c>
      <c r="AJ153" s="548">
        <f t="shared" si="32"/>
        <v>0</v>
      </c>
      <c r="AK153" s="519"/>
      <c r="AM153" s="512"/>
    </row>
    <row r="154" spans="1:39" ht="13.2" customHeight="1" x14ac:dyDescent="0.25">
      <c r="A154" s="256"/>
      <c r="B154" s="130"/>
      <c r="E154" s="864" t="str">
        <f>'T1'!$Q$26</f>
        <v>Serviços FIL:</v>
      </c>
      <c r="F154" s="865"/>
      <c r="G154" s="865"/>
      <c r="H154" s="867">
        <f>SUM(Q18,Q23,Q30:Q58,Q71:Q123,Q132:Q134,Q138,Q142:Q146)</f>
        <v>0</v>
      </c>
      <c r="I154" s="867"/>
      <c r="J154" s="446">
        <f>$V$1</f>
        <v>0.23</v>
      </c>
      <c r="K154" s="867">
        <f>SUM(H154*J154)</f>
        <v>0</v>
      </c>
      <c r="L154" s="867"/>
      <c r="M154" s="867">
        <f>SUM(H154+K154)</f>
        <v>0</v>
      </c>
      <c r="N154" s="867"/>
      <c r="O154" s="433"/>
      <c r="S154" s="257"/>
      <c r="W154" s="460"/>
      <c r="X154" s="460"/>
      <c r="Y154" s="784"/>
      <c r="AC154" s="460"/>
      <c r="AD154" s="460"/>
      <c r="AE154" s="681">
        <f t="shared" ref="AE154:AE170" si="33">IF($H$18&gt;0,W133,)</f>
        <v>0</v>
      </c>
      <c r="AH154" s="519"/>
      <c r="AI154" s="548">
        <f>IF($G$71&gt;0,#REF!,)</f>
        <v>0</v>
      </c>
      <c r="AJ154" s="548">
        <f t="shared" ref="AJ154:AJ170" si="34">IF($G$73&gt;0,W133,)</f>
        <v>0</v>
      </c>
      <c r="AK154" s="519"/>
      <c r="AM154" s="512"/>
    </row>
    <row r="155" spans="1:39" ht="13.2" customHeight="1" x14ac:dyDescent="0.25">
      <c r="A155" s="256"/>
      <c r="B155" s="130"/>
      <c r="E155" s="862" t="str">
        <f>'T1'!$K$36</f>
        <v>Parque, Bilhetes:</v>
      </c>
      <c r="F155" s="863"/>
      <c r="G155" s="863"/>
      <c r="H155" s="868">
        <f>SUM(Q148:Q150)</f>
        <v>0</v>
      </c>
      <c r="I155" s="868"/>
      <c r="J155" s="446">
        <v>0.23</v>
      </c>
      <c r="K155" s="866">
        <f>SUM(H155*J155)</f>
        <v>0</v>
      </c>
      <c r="L155" s="866"/>
      <c r="M155" s="867">
        <f>SUM(H155+K155)</f>
        <v>0</v>
      </c>
      <c r="N155" s="867"/>
      <c r="O155" s="433"/>
      <c r="S155" s="257"/>
      <c r="W155" s="460"/>
      <c r="X155" s="460"/>
      <c r="Y155" s="784"/>
      <c r="AC155" s="460"/>
      <c r="AD155" s="460"/>
      <c r="AE155" s="681">
        <f t="shared" si="33"/>
        <v>0</v>
      </c>
      <c r="AH155" s="519"/>
      <c r="AI155" s="548">
        <f>IF($G$71&gt;0,#REF!,)</f>
        <v>0</v>
      </c>
      <c r="AJ155" s="548">
        <f t="shared" si="34"/>
        <v>0</v>
      </c>
      <c r="AK155" s="519"/>
      <c r="AM155" s="512"/>
    </row>
    <row r="156" spans="1:39" ht="13.2" customHeight="1" thickBot="1" x14ac:dyDescent="0.3">
      <c r="A156" s="256"/>
      <c r="B156" s="130"/>
      <c r="E156" s="366"/>
      <c r="H156" s="877">
        <f>SUM(H154:I155)</f>
        <v>0</v>
      </c>
      <c r="I156" s="877"/>
      <c r="K156" s="876">
        <f>SUM(K154:L155)</f>
        <v>0</v>
      </c>
      <c r="L156" s="876"/>
      <c r="N156" s="445"/>
      <c r="O156" s="239"/>
      <c r="S156" s="257"/>
      <c r="W156" s="460"/>
      <c r="X156" s="460"/>
      <c r="Y156" s="784"/>
      <c r="AC156" s="460"/>
      <c r="AD156" s="460"/>
      <c r="AE156" s="681">
        <f t="shared" si="33"/>
        <v>0</v>
      </c>
      <c r="AH156" s="519"/>
      <c r="AI156" s="548">
        <f>IF($G$71&gt;0,#REF!,)</f>
        <v>0</v>
      </c>
      <c r="AJ156" s="548">
        <f t="shared" si="34"/>
        <v>0</v>
      </c>
      <c r="AK156" s="519"/>
      <c r="AM156" s="512"/>
    </row>
    <row r="157" spans="1:39" ht="13.2" customHeight="1" thickBot="1" x14ac:dyDescent="0.25">
      <c r="A157" s="16"/>
      <c r="B157" s="130"/>
      <c r="E157" s="240"/>
      <c r="G157" s="875" t="str">
        <f>'T1'!$M$21</f>
        <v>TOTAL DA REQUISIÇÃO</v>
      </c>
      <c r="H157" s="873"/>
      <c r="I157" s="873"/>
      <c r="J157" s="873"/>
      <c r="K157" s="873"/>
      <c r="L157" s="873"/>
      <c r="M157" s="873">
        <f>SUM(M154:N155)</f>
        <v>0</v>
      </c>
      <c r="N157" s="874"/>
      <c r="O157" s="241"/>
      <c r="S157" s="257"/>
      <c r="W157" s="460"/>
      <c r="X157" s="460"/>
      <c r="Y157" s="784"/>
      <c r="AC157" s="653"/>
      <c r="AD157" s="653"/>
      <c r="AE157" s="681">
        <f t="shared" si="33"/>
        <v>0</v>
      </c>
      <c r="AH157" s="519"/>
      <c r="AI157" s="548">
        <f>IF($G$71&gt;0,#REF!,)</f>
        <v>0</v>
      </c>
      <c r="AJ157" s="548">
        <f t="shared" si="34"/>
        <v>0</v>
      </c>
      <c r="AK157" s="519"/>
      <c r="AM157" s="512"/>
    </row>
    <row r="158" spans="1:39" ht="13.2" customHeight="1" x14ac:dyDescent="0.25">
      <c r="A158" s="256"/>
      <c r="B158" s="130"/>
      <c r="E158" s="880" t="str">
        <f>'T1'!$M$6</f>
        <v>Data limite de Inscrição até:</v>
      </c>
      <c r="F158" s="881"/>
      <c r="G158" s="881"/>
      <c r="H158" s="881"/>
      <c r="I158" s="879">
        <f>'T1'!$C$7</f>
        <v>45325</v>
      </c>
      <c r="J158" s="879"/>
      <c r="K158" s="884">
        <v>0.5</v>
      </c>
      <c r="L158" s="884"/>
      <c r="M158" s="870">
        <f>ROUND(+M157*K158,2)</f>
        <v>0</v>
      </c>
      <c r="N158" s="870"/>
      <c r="O158" s="431"/>
      <c r="S158" s="257"/>
      <c r="W158" s="460"/>
      <c r="X158" s="460"/>
      <c r="Y158" s="784"/>
      <c r="AC158" s="653"/>
      <c r="AD158" s="653"/>
      <c r="AE158" s="681">
        <f t="shared" si="33"/>
        <v>0</v>
      </c>
      <c r="AH158" s="519"/>
      <c r="AI158" s="548">
        <f>IF($G$71&gt;0,#REF!,)</f>
        <v>0</v>
      </c>
      <c r="AJ158" s="548">
        <f t="shared" si="34"/>
        <v>0</v>
      </c>
      <c r="AK158" s="519"/>
      <c r="AL158" s="512"/>
      <c r="AM158" s="512"/>
    </row>
    <row r="159" spans="1:39" ht="13.2" customHeight="1" thickBot="1" x14ac:dyDescent="0.3">
      <c r="A159" s="256"/>
      <c r="B159" s="130"/>
      <c r="E159" s="882" t="str">
        <f>'T1'!$Q$21</f>
        <v>Restante Pagamento até:</v>
      </c>
      <c r="F159" s="827"/>
      <c r="G159" s="827"/>
      <c r="H159" s="827"/>
      <c r="I159" s="878">
        <f>'T1'!$C$3</f>
        <v>45345</v>
      </c>
      <c r="J159" s="878"/>
      <c r="K159" s="883">
        <v>0.5</v>
      </c>
      <c r="L159" s="883"/>
      <c r="M159" s="869">
        <f>SUM(M157-M158)</f>
        <v>0</v>
      </c>
      <c r="N159" s="869"/>
      <c r="O159" s="432"/>
      <c r="S159" s="257"/>
      <c r="W159" s="460"/>
      <c r="X159" s="460"/>
      <c r="Y159" s="784"/>
      <c r="AC159" s="460"/>
      <c r="AD159" s="460"/>
      <c r="AE159" s="681">
        <f t="shared" si="33"/>
        <v>0</v>
      </c>
      <c r="AH159" s="519"/>
      <c r="AI159" s="548">
        <f>IF($G$71&gt;0,#REF!,)</f>
        <v>0</v>
      </c>
      <c r="AJ159" s="548">
        <f t="shared" si="34"/>
        <v>0</v>
      </c>
      <c r="AK159" s="519"/>
      <c r="AM159" s="512"/>
    </row>
    <row r="160" spans="1:39" ht="13.2" customHeight="1" x14ac:dyDescent="0.25">
      <c r="A160" s="256"/>
      <c r="B160" s="130"/>
      <c r="C160"/>
      <c r="E160" s="187"/>
      <c r="F160" s="185"/>
      <c r="S160" s="257"/>
      <c r="W160" s="460"/>
      <c r="X160" s="460"/>
      <c r="Y160" s="784"/>
      <c r="AC160" s="460"/>
      <c r="AD160" s="460"/>
      <c r="AE160" s="681">
        <f t="shared" si="33"/>
        <v>0</v>
      </c>
      <c r="AH160" s="519"/>
      <c r="AI160" s="548">
        <f>IF($G$71&gt;0,#REF!,)</f>
        <v>0</v>
      </c>
      <c r="AJ160" s="548">
        <f t="shared" si="34"/>
        <v>0</v>
      </c>
      <c r="AK160" s="519"/>
      <c r="AM160" s="512"/>
    </row>
    <row r="161" spans="1:39" ht="13.2" customHeight="1" thickBot="1" x14ac:dyDescent="0.3">
      <c r="A161" s="256"/>
      <c r="B161" s="130"/>
      <c r="C161"/>
      <c r="E161" s="187"/>
      <c r="F161" s="185"/>
      <c r="S161" s="257"/>
      <c r="W161" s="460"/>
      <c r="X161" s="460"/>
      <c r="Y161" s="784"/>
      <c r="AC161" s="460"/>
      <c r="AD161" s="460"/>
      <c r="AE161" s="681">
        <f t="shared" si="33"/>
        <v>0</v>
      </c>
      <c r="AH161" s="519"/>
      <c r="AI161" s="548">
        <f>IF($G$71&gt;0,#REF!,)</f>
        <v>0</v>
      </c>
      <c r="AJ161" s="548">
        <f t="shared" si="34"/>
        <v>0</v>
      </c>
      <c r="AK161" s="519"/>
      <c r="AM161" s="512"/>
    </row>
    <row r="162" spans="1:39" ht="13.2" customHeight="1" x14ac:dyDescent="0.25">
      <c r="A162" s="256"/>
      <c r="C162" s="836" t="str">
        <f>$U$31</f>
        <v>Atenção!</v>
      </c>
      <c r="D162" s="837"/>
      <c r="E162" s="857" t="str">
        <f>'T2'!$A$58</f>
        <v>Pagamento a favor de:    LISBOA-FEIRAS CONGRESSOS E EVENTOS   (referência)</v>
      </c>
      <c r="F162" s="857"/>
      <c r="G162" s="857"/>
      <c r="H162" s="857"/>
      <c r="I162" s="857"/>
      <c r="J162" s="857"/>
      <c r="K162" s="857"/>
      <c r="L162" s="857"/>
      <c r="M162" s="857"/>
      <c r="N162" s="422" t="str">
        <f>'T1'!$A$2</f>
        <v>BTL 2024</v>
      </c>
      <c r="O162" s="228"/>
      <c r="P162" s="423"/>
      <c r="Q162" s="424"/>
      <c r="R162" s="197"/>
      <c r="S162" s="263"/>
      <c r="W162" s="460"/>
      <c r="X162" s="460"/>
      <c r="Y162" s="460"/>
      <c r="AC162" s="460"/>
      <c r="AD162" s="460"/>
      <c r="AE162" s="681">
        <f t="shared" si="33"/>
        <v>0</v>
      </c>
      <c r="AH162" s="519"/>
      <c r="AI162" s="548">
        <f>IF($G$71&gt;0,#REF!,)</f>
        <v>0</v>
      </c>
      <c r="AJ162" s="548">
        <f t="shared" si="34"/>
        <v>0</v>
      </c>
      <c r="AK162" s="519"/>
      <c r="AM162" s="512"/>
    </row>
    <row r="163" spans="1:39" ht="13.2" customHeight="1" x14ac:dyDescent="0.25">
      <c r="A163" s="256"/>
      <c r="C163" s="838"/>
      <c r="D163" s="839"/>
      <c r="E163" s="847" t="s">
        <v>471</v>
      </c>
      <c r="F163" s="847"/>
      <c r="G163" s="847"/>
      <c r="H163" s="847"/>
      <c r="I163" s="847"/>
      <c r="J163" s="847"/>
      <c r="K163" s="847"/>
      <c r="L163" s="847"/>
      <c r="M163" s="847"/>
      <c r="N163" s="847"/>
      <c r="O163" s="847"/>
      <c r="P163" s="847"/>
      <c r="Q163" s="848"/>
      <c r="R163" s="198"/>
      <c r="S163" s="263"/>
      <c r="W163" s="460"/>
      <c r="X163" s="460"/>
      <c r="Y163" s="460"/>
      <c r="AC163" s="460"/>
      <c r="AD163" s="460"/>
      <c r="AE163" s="681">
        <f t="shared" si="33"/>
        <v>0</v>
      </c>
      <c r="AH163" s="519"/>
      <c r="AI163" s="548">
        <f>IF($G$71&gt;0,#REF!,)</f>
        <v>0</v>
      </c>
      <c r="AJ163" s="548">
        <f t="shared" si="34"/>
        <v>0</v>
      </c>
      <c r="AK163" s="519"/>
      <c r="AM163" s="512"/>
    </row>
    <row r="164" spans="1:39" ht="13.2" customHeight="1" x14ac:dyDescent="0.25">
      <c r="A164" s="256"/>
      <c r="C164" s="838"/>
      <c r="D164" s="839"/>
      <c r="E164" s="847" t="s">
        <v>472</v>
      </c>
      <c r="F164" s="847"/>
      <c r="G164" s="847"/>
      <c r="H164" s="847"/>
      <c r="I164" s="847"/>
      <c r="J164" s="847"/>
      <c r="K164" s="847"/>
      <c r="L164" s="847"/>
      <c r="M164" s="847"/>
      <c r="N164" s="847"/>
      <c r="O164" s="847"/>
      <c r="P164" s="847"/>
      <c r="Q164" s="848"/>
      <c r="R164" s="198"/>
      <c r="S164" s="263"/>
      <c r="W164" s="460"/>
      <c r="X164" s="460"/>
      <c r="Y164" s="460"/>
      <c r="AC164" s="460"/>
      <c r="AD164" s="460"/>
      <c r="AE164" s="681">
        <f t="shared" si="33"/>
        <v>0</v>
      </c>
      <c r="AH164" s="519"/>
      <c r="AI164" s="548">
        <f>IF($G$71&gt;0,#REF!,)</f>
        <v>0</v>
      </c>
      <c r="AJ164" s="548">
        <f t="shared" si="34"/>
        <v>0</v>
      </c>
      <c r="AK164" s="519"/>
      <c r="AM164" s="512"/>
    </row>
    <row r="165" spans="1:39" ht="13.2" customHeight="1" x14ac:dyDescent="0.25">
      <c r="A165" s="256"/>
      <c r="C165" s="838"/>
      <c r="D165" s="839"/>
      <c r="E165" s="858" t="s">
        <v>669</v>
      </c>
      <c r="F165" s="858"/>
      <c r="G165" s="858"/>
      <c r="H165" s="858"/>
      <c r="I165" s="858"/>
      <c r="J165" s="858"/>
      <c r="K165" s="850" t="s">
        <v>670</v>
      </c>
      <c r="L165" s="850"/>
      <c r="M165" s="850"/>
      <c r="N165" s="850"/>
      <c r="O165" s="850"/>
      <c r="P165" s="850"/>
      <c r="Q165" s="851"/>
      <c r="R165" s="198"/>
      <c r="S165" s="263"/>
      <c r="W165" s="460"/>
      <c r="X165" s="460"/>
      <c r="Y165" s="460"/>
      <c r="AC165" s="460"/>
      <c r="AD165" s="460"/>
      <c r="AE165" s="681">
        <f t="shared" si="33"/>
        <v>0</v>
      </c>
      <c r="AH165" s="519"/>
      <c r="AI165" s="548">
        <f>IF($G$71&gt;0,#REF!,)</f>
        <v>0</v>
      </c>
      <c r="AJ165" s="548">
        <f t="shared" si="34"/>
        <v>0</v>
      </c>
      <c r="AK165" s="519"/>
      <c r="AM165" s="512"/>
    </row>
    <row r="166" spans="1:39" ht="13.2" customHeight="1" x14ac:dyDescent="0.25">
      <c r="A166" s="256"/>
      <c r="C166" s="838"/>
      <c r="D166" s="839"/>
      <c r="E166" s="852" t="str">
        <f>'T2'!$A$63</f>
        <v>(os dados recolhidos são facultados pelo titular no quadro das obrigações contratuais com a Lisboa-FCE e serão
mantidos enquanto durar tal relação e para esse efeito)</v>
      </c>
      <c r="F166" s="852"/>
      <c r="G166" s="852"/>
      <c r="H166" s="852"/>
      <c r="I166" s="852"/>
      <c r="J166" s="852"/>
      <c r="K166" s="852"/>
      <c r="L166" s="852"/>
      <c r="M166" s="852"/>
      <c r="N166" s="852"/>
      <c r="O166" s="852"/>
      <c r="P166" s="852"/>
      <c r="Q166" s="853"/>
      <c r="R166" s="198"/>
      <c r="S166" s="263"/>
      <c r="W166" s="460"/>
      <c r="X166" s="460"/>
      <c r="Y166" s="460"/>
      <c r="AC166" s="460"/>
      <c r="AD166" s="460"/>
      <c r="AE166" s="681">
        <f t="shared" si="33"/>
        <v>0</v>
      </c>
      <c r="AH166" s="519"/>
      <c r="AI166" s="548">
        <f>IF($G$71&gt;0,#REF!,)</f>
        <v>0</v>
      </c>
      <c r="AJ166" s="548">
        <f t="shared" si="34"/>
        <v>0</v>
      </c>
      <c r="AK166" s="519"/>
      <c r="AM166" s="512"/>
    </row>
    <row r="167" spans="1:39" ht="13.2" customHeight="1" x14ac:dyDescent="0.25">
      <c r="A167" s="256"/>
      <c r="C167" s="838"/>
      <c r="D167" s="839"/>
      <c r="E167" s="852"/>
      <c r="F167" s="852"/>
      <c r="G167" s="852"/>
      <c r="H167" s="852"/>
      <c r="I167" s="852"/>
      <c r="J167" s="852"/>
      <c r="K167" s="852"/>
      <c r="L167" s="852"/>
      <c r="M167" s="852"/>
      <c r="N167" s="852"/>
      <c r="O167" s="852"/>
      <c r="P167" s="852"/>
      <c r="Q167" s="853"/>
      <c r="R167" s="198"/>
      <c r="S167" s="263"/>
      <c r="W167" s="460"/>
      <c r="X167" s="460"/>
      <c r="Y167" s="460"/>
      <c r="AC167" s="460"/>
      <c r="AD167" s="460"/>
      <c r="AE167" s="681">
        <f t="shared" si="33"/>
        <v>0</v>
      </c>
      <c r="AH167" s="519"/>
      <c r="AI167" s="548">
        <f>IF($G$71&gt;0,#REF!,)</f>
        <v>0</v>
      </c>
      <c r="AJ167" s="548">
        <f t="shared" si="34"/>
        <v>0</v>
      </c>
      <c r="AK167" s="519"/>
      <c r="AM167" s="512"/>
    </row>
    <row r="168" spans="1:39" ht="13.2" customHeight="1" thickBot="1" x14ac:dyDescent="0.3">
      <c r="A168" s="256"/>
      <c r="C168" s="855"/>
      <c r="D168" s="856"/>
      <c r="E168" s="846" t="str">
        <f>'T2'!$A$68</f>
        <v>Formulário de envio de documento comprovativo de pagamento:</v>
      </c>
      <c r="F168" s="846"/>
      <c r="G168" s="846"/>
      <c r="H168" s="846"/>
      <c r="I168" s="846"/>
      <c r="J168" s="846"/>
      <c r="K168" s="846"/>
      <c r="L168" s="846"/>
      <c r="M168" s="844" t="s">
        <v>938</v>
      </c>
      <c r="N168" s="844"/>
      <c r="O168" s="844"/>
      <c r="P168" s="844"/>
      <c r="Q168" s="845"/>
      <c r="R168" s="198"/>
      <c r="S168" s="263"/>
      <c r="Y168" s="460"/>
      <c r="AC168" s="460"/>
      <c r="AD168" s="460"/>
      <c r="AE168" s="681">
        <f t="shared" si="33"/>
        <v>0</v>
      </c>
      <c r="AH168" s="519"/>
      <c r="AI168" s="548">
        <f>IF($G$71&gt;0,#REF!,)</f>
        <v>0</v>
      </c>
      <c r="AJ168" s="548">
        <f t="shared" si="34"/>
        <v>0</v>
      </c>
      <c r="AK168" s="519"/>
      <c r="AM168" s="512"/>
    </row>
    <row r="169" spans="1:39" ht="13.2" customHeight="1" x14ac:dyDescent="0.25">
      <c r="A169" s="256"/>
      <c r="C169" s="270"/>
      <c r="D169" s="270"/>
      <c r="E169" s="270"/>
      <c r="F169" s="270"/>
      <c r="G169" s="270"/>
      <c r="H169" s="270"/>
      <c r="I169" s="270"/>
      <c r="J169" s="270"/>
      <c r="K169" s="270"/>
      <c r="L169" s="270"/>
      <c r="M169" s="270"/>
      <c r="N169" s="270"/>
      <c r="O169" s="270"/>
      <c r="P169" s="270"/>
      <c r="Q169" s="270"/>
      <c r="R169" s="198"/>
      <c r="S169" s="263"/>
      <c r="W169" s="460"/>
      <c r="X169" s="460"/>
      <c r="Y169" s="460"/>
      <c r="AC169" s="460"/>
      <c r="AD169" s="460"/>
      <c r="AE169" s="681">
        <f t="shared" si="33"/>
        <v>0</v>
      </c>
      <c r="AH169" s="519"/>
      <c r="AI169" s="548">
        <f>IF($G$71&gt;0,#REF!,)</f>
        <v>0</v>
      </c>
      <c r="AJ169" s="548">
        <f t="shared" si="34"/>
        <v>0</v>
      </c>
      <c r="AK169" s="519"/>
      <c r="AM169" s="512"/>
    </row>
    <row r="170" spans="1:39" ht="13.2" customHeight="1" x14ac:dyDescent="0.25">
      <c r="A170" s="256"/>
      <c r="C170" s="270"/>
      <c r="D170" s="270"/>
      <c r="E170" s="270"/>
      <c r="F170" s="270"/>
      <c r="G170" s="270"/>
      <c r="H170" s="270"/>
      <c r="I170" s="270"/>
      <c r="J170" s="270"/>
      <c r="K170" s="270"/>
      <c r="L170" s="270"/>
      <c r="M170" s="270"/>
      <c r="N170" s="270"/>
      <c r="O170" s="270"/>
      <c r="P170" s="270"/>
      <c r="Q170" s="270"/>
      <c r="R170" s="198"/>
      <c r="S170" s="263"/>
      <c r="W170" s="460"/>
      <c r="X170" s="460"/>
      <c r="Y170" s="460"/>
      <c r="AC170" s="460"/>
      <c r="AD170" s="460"/>
      <c r="AE170" s="751">
        <f t="shared" si="33"/>
        <v>0</v>
      </c>
      <c r="AH170" s="519"/>
      <c r="AI170" s="593">
        <f>IF($G$71&gt;0,#REF!,)</f>
        <v>0</v>
      </c>
      <c r="AJ170" s="593">
        <f t="shared" si="34"/>
        <v>0</v>
      </c>
      <c r="AK170" s="519"/>
      <c r="AM170" s="512"/>
    </row>
    <row r="171" spans="1:39" ht="13.2" customHeight="1" x14ac:dyDescent="0.25">
      <c r="A171" s="256"/>
      <c r="C171" s="843" t="str">
        <f>'T2'!$A$73</f>
        <v>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v>
      </c>
      <c r="D171" s="843"/>
      <c r="E171" s="843"/>
      <c r="F171" s="843"/>
      <c r="G171" s="843"/>
      <c r="H171" s="843"/>
      <c r="I171" s="843"/>
      <c r="J171" s="843"/>
      <c r="K171" s="843"/>
      <c r="L171" s="843"/>
      <c r="M171" s="843"/>
      <c r="N171" s="843"/>
      <c r="O171" s="843"/>
      <c r="P171" s="843"/>
      <c r="Q171" s="843"/>
      <c r="S171" s="263"/>
      <c r="W171" s="460"/>
      <c r="X171" s="460"/>
      <c r="Y171" s="460"/>
      <c r="AC171" s="460"/>
      <c r="AD171" s="460"/>
      <c r="AH171" s="519"/>
      <c r="AI171" s="519"/>
      <c r="AJ171" s="519"/>
      <c r="AK171" s="519"/>
      <c r="AM171" s="512"/>
    </row>
    <row r="172" spans="1:39" ht="13.2" customHeight="1" x14ac:dyDescent="0.25">
      <c r="A172" s="256"/>
      <c r="C172" s="843"/>
      <c r="D172" s="843"/>
      <c r="E172" s="843"/>
      <c r="F172" s="843"/>
      <c r="G172" s="843"/>
      <c r="H172" s="843"/>
      <c r="I172" s="843"/>
      <c r="J172" s="843"/>
      <c r="K172" s="843"/>
      <c r="L172" s="843"/>
      <c r="M172" s="843"/>
      <c r="N172" s="843"/>
      <c r="O172" s="843"/>
      <c r="P172" s="843"/>
      <c r="Q172" s="843"/>
      <c r="S172" s="263"/>
      <c r="W172" s="460"/>
      <c r="X172" s="460"/>
      <c r="AC172" s="460"/>
      <c r="AD172" s="460"/>
      <c r="AH172" s="519"/>
      <c r="AI172" s="519"/>
      <c r="AJ172" s="519"/>
      <c r="AK172" s="519"/>
      <c r="AM172" s="512"/>
    </row>
    <row r="173" spans="1:39" ht="13.2" customHeight="1" x14ac:dyDescent="0.25">
      <c r="A173" s="256"/>
      <c r="C173" s="843"/>
      <c r="D173" s="843"/>
      <c r="E173" s="843"/>
      <c r="F173" s="843"/>
      <c r="G173" s="843"/>
      <c r="H173" s="843"/>
      <c r="I173" s="843"/>
      <c r="J173" s="843"/>
      <c r="K173" s="843"/>
      <c r="L173" s="843"/>
      <c r="M173" s="843"/>
      <c r="N173" s="843"/>
      <c r="O173" s="843"/>
      <c r="P173" s="843"/>
      <c r="Q173" s="843"/>
      <c r="S173" s="263"/>
      <c r="W173" s="460"/>
      <c r="X173" s="460"/>
      <c r="Y173" s="460"/>
      <c r="AC173" s="460"/>
      <c r="AD173" s="460"/>
      <c r="AJ173" s="519"/>
      <c r="AK173" s="519"/>
    </row>
    <row r="174" spans="1:39" ht="13.2" customHeight="1" x14ac:dyDescent="0.25">
      <c r="A174" s="256"/>
      <c r="C174" s="131"/>
      <c r="D174" s="131"/>
      <c r="E174" s="131"/>
      <c r="F174" s="131"/>
      <c r="G174" s="131"/>
      <c r="H174" s="131"/>
      <c r="I174" s="131"/>
      <c r="J174" s="131"/>
      <c r="K174" s="131"/>
      <c r="L174" s="131"/>
      <c r="M174" s="131"/>
      <c r="N174" s="131"/>
      <c r="O174" s="131"/>
      <c r="P174" s="131"/>
      <c r="Q174" s="131"/>
      <c r="S174" s="263"/>
      <c r="W174" s="460"/>
      <c r="X174" s="460"/>
      <c r="Y174" s="460"/>
      <c r="AC174" s="460"/>
      <c r="AD174" s="460"/>
      <c r="AJ174" s="519"/>
      <c r="AK174" s="519"/>
    </row>
    <row r="175" spans="1:39" ht="13.2" customHeight="1" thickBot="1" x14ac:dyDescent="0.3">
      <c r="A175" s="256"/>
      <c r="C175" s="854" t="str">
        <f>'T1'!$C$20</f>
        <v>Assinatura:</v>
      </c>
      <c r="D175" s="854"/>
      <c r="E175" s="842"/>
      <c r="F175" s="842"/>
      <c r="G175" s="842"/>
      <c r="H175" s="842"/>
      <c r="I175" s="842"/>
      <c r="J175" s="842"/>
      <c r="K175" s="842"/>
      <c r="L175" s="842"/>
      <c r="N175" s="253" t="str">
        <f>'T1'!$K$6</f>
        <v>Data:</v>
      </c>
      <c r="O175" s="849"/>
      <c r="P175" s="849"/>
      <c r="Q175" s="849"/>
      <c r="S175" s="263"/>
      <c r="W175" s="460"/>
      <c r="X175" s="460"/>
      <c r="Y175" s="460"/>
      <c r="AC175" s="460"/>
      <c r="AD175" s="460"/>
      <c r="AJ175" s="519"/>
      <c r="AK175" s="519"/>
    </row>
    <row r="176" spans="1:39" ht="13.2" customHeight="1" x14ac:dyDescent="0.25">
      <c r="A176" s="256"/>
      <c r="C176" s="253"/>
      <c r="D176" s="253"/>
      <c r="E176" s="253"/>
      <c r="F176" s="253"/>
      <c r="G176" s="253"/>
      <c r="H176" s="253"/>
      <c r="I176" s="253"/>
      <c r="J176" s="253"/>
      <c r="K176" s="253"/>
      <c r="L176" s="253"/>
      <c r="M176" s="253"/>
      <c r="N176" s="253"/>
      <c r="O176" s="253"/>
      <c r="P176" s="253"/>
      <c r="Q176" s="253"/>
      <c r="S176" s="263"/>
      <c r="W176" s="460"/>
      <c r="X176" s="460"/>
      <c r="Y176" s="460"/>
      <c r="AC176" s="460"/>
      <c r="AD176" s="460"/>
      <c r="AJ176" s="519"/>
      <c r="AK176" s="519"/>
    </row>
    <row r="177" spans="1:37" ht="13.2" customHeight="1" thickBot="1" x14ac:dyDescent="0.3">
      <c r="A177" s="256"/>
      <c r="S177" s="263"/>
      <c r="W177" s="460"/>
      <c r="X177" s="460"/>
      <c r="Y177" s="460"/>
      <c r="AC177" s="460"/>
      <c r="AD177" s="460"/>
      <c r="AJ177" s="519"/>
      <c r="AK177" s="519"/>
    </row>
    <row r="178" spans="1:37" ht="13.2" customHeight="1" x14ac:dyDescent="0.25">
      <c r="A178" s="256"/>
      <c r="C178" s="836" t="str">
        <f>'T1'!$E$11</f>
        <v>Enviar para:</v>
      </c>
      <c r="D178" s="837"/>
      <c r="E178" s="276" t="s">
        <v>657</v>
      </c>
      <c r="F178" s="276"/>
      <c r="G178" s="276"/>
      <c r="H178" s="276"/>
      <c r="I178" s="276"/>
      <c r="J178" s="276"/>
      <c r="K178" s="277"/>
      <c r="L178" s="246"/>
      <c r="S178" s="263"/>
      <c r="W178" s="460"/>
      <c r="X178" s="460"/>
      <c r="Y178" s="460"/>
      <c r="AC178" s="460"/>
      <c r="AD178" s="460"/>
      <c r="AJ178" s="519"/>
      <c r="AK178" s="519"/>
    </row>
    <row r="179" spans="1:37" ht="13.2" customHeight="1" x14ac:dyDescent="0.25">
      <c r="A179" s="256"/>
      <c r="C179" s="838"/>
      <c r="D179" s="839"/>
      <c r="E179" s="132" t="s">
        <v>896</v>
      </c>
      <c r="F179" s="368"/>
      <c r="G179" s="85"/>
      <c r="H179" s="278"/>
      <c r="I179" s="279"/>
      <c r="J179" s="279"/>
      <c r="L179" s="280"/>
      <c r="S179" s="263"/>
      <c r="Y179" s="460"/>
      <c r="AC179" s="460"/>
      <c r="AD179" s="460"/>
      <c r="AJ179" s="519"/>
      <c r="AK179" s="519"/>
    </row>
    <row r="180" spans="1:37" ht="13.2" customHeight="1" x14ac:dyDescent="0.25">
      <c r="A180" s="256"/>
      <c r="C180" s="838"/>
      <c r="D180" s="839"/>
      <c r="E180" s="243" t="s">
        <v>658</v>
      </c>
      <c r="F180" s="243"/>
      <c r="G180" s="243"/>
      <c r="H180" s="243"/>
      <c r="I180" s="243"/>
      <c r="J180" s="243"/>
      <c r="K180" s="244"/>
      <c r="L180" s="241"/>
      <c r="S180" s="263"/>
      <c r="Y180" s="460"/>
      <c r="AC180" s="460"/>
      <c r="AD180" s="460"/>
      <c r="AJ180" s="519"/>
      <c r="AK180" s="519"/>
    </row>
    <row r="181" spans="1:37" ht="12.6" thickBot="1" x14ac:dyDescent="0.3">
      <c r="A181" s="369"/>
      <c r="B181" s="370"/>
      <c r="C181" s="840"/>
      <c r="D181" s="841"/>
      <c r="E181" s="426" t="s">
        <v>1089</v>
      </c>
      <c r="F181" s="427"/>
      <c r="G181" s="427"/>
      <c r="H181" s="427" t="s">
        <v>1090</v>
      </c>
      <c r="I181" s="428"/>
      <c r="J181" s="429"/>
      <c r="K181" s="859" t="s">
        <v>1091</v>
      </c>
      <c r="L181" s="860"/>
      <c r="M181" s="371"/>
      <c r="N181" s="370"/>
      <c r="O181" s="370"/>
      <c r="P181" s="370"/>
      <c r="Q181" s="370"/>
      <c r="R181" s="370"/>
      <c r="S181" s="372"/>
      <c r="Y181" s="460"/>
      <c r="AC181" s="460"/>
      <c r="AD181" s="460"/>
      <c r="AJ181" s="519"/>
      <c r="AK181" s="519"/>
    </row>
    <row r="182" spans="1:37" ht="12.6" thickTop="1" x14ac:dyDescent="0.25">
      <c r="Y182" s="460"/>
      <c r="AC182" s="460"/>
      <c r="AD182" s="460"/>
      <c r="AJ182" s="519"/>
      <c r="AK182" s="519"/>
    </row>
    <row r="183" spans="1:37" ht="12" x14ac:dyDescent="0.25">
      <c r="AC183" s="460"/>
      <c r="AD183" s="460"/>
      <c r="AJ183" s="519"/>
      <c r="AK183" s="519"/>
    </row>
    <row r="184" spans="1:37" ht="12" x14ac:dyDescent="0.25">
      <c r="T184" s="701"/>
      <c r="U184" s="701"/>
      <c r="W184" s="233"/>
      <c r="X184" s="233"/>
      <c r="AC184" s="460"/>
      <c r="AD184" s="460"/>
      <c r="AJ184" s="519"/>
      <c r="AK184" s="519"/>
    </row>
    <row r="185" spans="1:37" ht="13.2" customHeight="1" x14ac:dyDescent="0.25">
      <c r="AC185" s="460"/>
      <c r="AD185" s="460"/>
      <c r="AJ185" s="519"/>
      <c r="AK185" s="519"/>
    </row>
    <row r="186" spans="1:37" ht="13.2" customHeight="1" x14ac:dyDescent="0.25">
      <c r="T186" s="557"/>
      <c r="U186" s="557"/>
      <c r="W186" s="460"/>
      <c r="X186" s="460"/>
      <c r="AC186" s="460"/>
      <c r="AD186" s="460"/>
      <c r="AJ186" s="519"/>
      <c r="AK186" s="519"/>
    </row>
    <row r="187" spans="1:37" ht="13.2" customHeight="1" x14ac:dyDescent="0.25">
      <c r="W187" s="460"/>
      <c r="X187" s="460"/>
      <c r="AC187" s="460"/>
      <c r="AD187" s="460"/>
      <c r="AJ187" s="519"/>
      <c r="AK187" s="519"/>
    </row>
    <row r="188" spans="1:37" ht="13.2" customHeight="1" x14ac:dyDescent="0.25">
      <c r="W188" s="460"/>
      <c r="X188" s="460"/>
      <c r="Y188" s="233"/>
      <c r="AC188" s="460"/>
      <c r="AD188" s="460"/>
      <c r="AJ188" s="519"/>
      <c r="AK188" s="519"/>
    </row>
    <row r="189" spans="1:37" ht="13.2" customHeight="1" x14ac:dyDescent="0.25">
      <c r="W189" s="460"/>
      <c r="X189" s="460"/>
      <c r="AC189" s="460"/>
      <c r="AD189" s="460"/>
      <c r="AJ189" s="519"/>
      <c r="AK189" s="519"/>
    </row>
    <row r="190" spans="1:37" ht="13.2" customHeight="1" x14ac:dyDescent="0.25">
      <c r="W190" s="460"/>
      <c r="X190" s="460"/>
      <c r="Y190" s="460"/>
      <c r="AC190" s="460"/>
      <c r="AD190" s="460"/>
      <c r="AJ190" s="519"/>
      <c r="AK190" s="519"/>
    </row>
    <row r="191" spans="1:37" ht="13.2" customHeight="1" x14ac:dyDescent="0.25">
      <c r="W191" s="460"/>
      <c r="X191" s="460"/>
      <c r="Y191" s="460"/>
      <c r="AC191" s="460"/>
      <c r="AD191" s="460"/>
      <c r="AJ191" s="519"/>
      <c r="AK191" s="519"/>
    </row>
    <row r="192" spans="1:37" ht="13.2" customHeight="1" x14ac:dyDescent="0.25">
      <c r="W192" s="460"/>
      <c r="X192" s="460"/>
      <c r="Y192" s="460"/>
      <c r="AC192" s="460"/>
      <c r="AD192" s="460"/>
      <c r="AJ192" s="519"/>
      <c r="AK192" s="519"/>
    </row>
    <row r="193" spans="20:37" ht="13.2" customHeight="1" x14ac:dyDescent="0.25">
      <c r="T193" s="786"/>
      <c r="U193" s="786"/>
      <c r="W193" s="460"/>
      <c r="X193" s="460"/>
      <c r="Y193" s="460"/>
      <c r="AC193" s="460"/>
      <c r="AD193" s="460"/>
      <c r="AJ193" s="519"/>
      <c r="AK193" s="519"/>
    </row>
    <row r="194" spans="20:37" ht="13.2" customHeight="1" x14ac:dyDescent="0.25">
      <c r="W194" s="460"/>
      <c r="X194" s="460"/>
      <c r="Y194" s="460"/>
      <c r="AC194" s="460"/>
      <c r="AD194" s="460"/>
      <c r="AJ194" s="519"/>
      <c r="AK194" s="519"/>
    </row>
    <row r="195" spans="20:37" ht="13.2" customHeight="1" x14ac:dyDescent="0.25">
      <c r="W195" s="460"/>
      <c r="X195" s="460"/>
      <c r="Y195" s="460"/>
      <c r="AC195" s="460"/>
      <c r="AD195" s="460"/>
      <c r="AJ195" s="519"/>
      <c r="AK195" s="519"/>
    </row>
    <row r="196" spans="20:37" ht="13.2" customHeight="1" x14ac:dyDescent="0.25">
      <c r="W196" s="460"/>
      <c r="X196" s="460"/>
      <c r="Y196" s="460"/>
      <c r="AC196" s="460"/>
      <c r="AD196" s="460"/>
      <c r="AJ196" s="519"/>
      <c r="AK196" s="519"/>
    </row>
    <row r="197" spans="20:37" ht="13.2" customHeight="1" x14ac:dyDescent="0.25">
      <c r="W197" s="460"/>
      <c r="X197" s="460"/>
      <c r="Y197" s="460"/>
      <c r="AC197" s="460"/>
      <c r="AD197" s="460"/>
      <c r="AJ197" s="519"/>
      <c r="AK197" s="519"/>
    </row>
    <row r="198" spans="20:37" ht="13.2" customHeight="1" x14ac:dyDescent="0.25">
      <c r="W198" s="460"/>
      <c r="X198" s="460"/>
      <c r="Y198" s="460"/>
      <c r="AC198" s="460"/>
      <c r="AD198" s="460"/>
      <c r="AJ198" s="519"/>
      <c r="AK198" s="519"/>
    </row>
    <row r="199" spans="20:37" ht="13.2" customHeight="1" x14ac:dyDescent="0.25">
      <c r="W199" s="460"/>
      <c r="X199" s="460"/>
      <c r="Y199" s="460"/>
      <c r="AC199" s="460"/>
      <c r="AD199" s="460"/>
      <c r="AJ199" s="519"/>
      <c r="AK199" s="519"/>
    </row>
    <row r="200" spans="20:37" ht="13.2" customHeight="1" x14ac:dyDescent="0.25">
      <c r="W200" s="460"/>
      <c r="X200" s="460"/>
      <c r="Y200" s="460"/>
      <c r="AC200" s="460"/>
      <c r="AD200" s="460"/>
      <c r="AK200" s="519"/>
    </row>
    <row r="201" spans="20:37" ht="13.2" customHeight="1" x14ac:dyDescent="0.25">
      <c r="W201" s="460"/>
      <c r="X201" s="460"/>
      <c r="Y201" s="460"/>
      <c r="AC201" s="460"/>
      <c r="AD201" s="460"/>
      <c r="AK201" s="519"/>
    </row>
    <row r="202" spans="20:37" ht="13.2" customHeight="1" x14ac:dyDescent="0.25">
      <c r="W202" s="460"/>
      <c r="X202" s="460"/>
      <c r="Y202" s="460"/>
      <c r="AC202" s="460"/>
      <c r="AD202" s="460"/>
    </row>
    <row r="203" spans="20:37" ht="13.2" customHeight="1" x14ac:dyDescent="0.25">
      <c r="W203" s="460"/>
      <c r="X203" s="460"/>
      <c r="Y203" s="460"/>
      <c r="AC203" s="460"/>
      <c r="AD203" s="460"/>
    </row>
    <row r="204" spans="20:37" ht="13.2" customHeight="1" x14ac:dyDescent="0.25">
      <c r="W204" s="460"/>
      <c r="X204" s="460"/>
      <c r="Y204" s="460"/>
      <c r="AC204" s="460"/>
      <c r="AD204" s="460"/>
    </row>
    <row r="205" spans="20:37" ht="13.2" customHeight="1" x14ac:dyDescent="0.25">
      <c r="W205" s="460"/>
      <c r="X205" s="460"/>
      <c r="Y205" s="460"/>
      <c r="AC205" s="460"/>
      <c r="AD205" s="460"/>
    </row>
    <row r="206" spans="20:37" ht="13.2" customHeight="1" x14ac:dyDescent="0.25">
      <c r="W206" s="460"/>
      <c r="X206" s="460"/>
      <c r="Y206" s="460"/>
      <c r="AC206" s="460"/>
      <c r="AD206" s="460"/>
    </row>
    <row r="207" spans="20:37" ht="13.2" customHeight="1" x14ac:dyDescent="0.25">
      <c r="W207" s="460"/>
      <c r="X207" s="460"/>
      <c r="Y207" s="460"/>
      <c r="AC207" s="460"/>
      <c r="AD207" s="460"/>
    </row>
    <row r="208" spans="20:37" ht="13.2" customHeight="1" x14ac:dyDescent="0.25">
      <c r="W208" s="460"/>
      <c r="X208" s="460"/>
      <c r="Y208" s="460"/>
      <c r="AC208" s="460"/>
      <c r="AD208" s="460"/>
    </row>
    <row r="209" spans="21:30" ht="13.2" customHeight="1" x14ac:dyDescent="0.25">
      <c r="Y209" s="460"/>
      <c r="AC209" s="460"/>
      <c r="AD209" s="460"/>
    </row>
    <row r="210" spans="21:30" ht="13.2" customHeight="1" x14ac:dyDescent="0.25">
      <c r="Y210" s="460"/>
      <c r="AC210" s="460"/>
      <c r="AD210" s="460"/>
    </row>
    <row r="211" spans="21:30" ht="13.2" customHeight="1" x14ac:dyDescent="0.25">
      <c r="Y211" s="460"/>
      <c r="AC211" s="460"/>
      <c r="AD211" s="460"/>
    </row>
    <row r="212" spans="21:30" ht="13.2" customHeight="1" x14ac:dyDescent="0.25">
      <c r="Y212" s="460"/>
      <c r="AC212" s="460"/>
      <c r="AD212" s="460"/>
    </row>
    <row r="213" spans="21:30" ht="13.2" customHeight="1" x14ac:dyDescent="0.25">
      <c r="AC213" s="460"/>
      <c r="AD213" s="460"/>
    </row>
    <row r="214" spans="21:30" ht="13.2" customHeight="1" x14ac:dyDescent="0.25">
      <c r="AC214" s="460"/>
      <c r="AD214" s="460"/>
    </row>
    <row r="215" spans="21:30" ht="13.2" customHeight="1" x14ac:dyDescent="0.25">
      <c r="AC215" s="460"/>
      <c r="AD215" s="460"/>
    </row>
    <row r="216" spans="21:30" ht="13.2" customHeight="1" x14ac:dyDescent="0.25">
      <c r="AC216" s="460"/>
      <c r="AD216" s="460"/>
    </row>
    <row r="217" spans="21:30" ht="13.2" customHeight="1" x14ac:dyDescent="0.25">
      <c r="AC217" s="460"/>
      <c r="AD217" s="460"/>
    </row>
    <row r="218" spans="21:30" ht="13.2" customHeight="1" x14ac:dyDescent="0.25">
      <c r="AC218" s="460"/>
      <c r="AD218" s="460"/>
    </row>
    <row r="219" spans="21:30" ht="13.2" customHeight="1" x14ac:dyDescent="0.25">
      <c r="AC219" s="460"/>
      <c r="AD219" s="460"/>
    </row>
    <row r="220" spans="21:30" ht="13.2" customHeight="1" x14ac:dyDescent="0.25">
      <c r="AC220" s="460"/>
      <c r="AD220" s="460"/>
    </row>
    <row r="221" spans="21:30" ht="13.2" customHeight="1" x14ac:dyDescent="0.25">
      <c r="AC221" s="460"/>
      <c r="AD221" s="460"/>
    </row>
    <row r="222" spans="21:30" ht="13.2" customHeight="1" x14ac:dyDescent="0.25">
      <c r="U222" s="787"/>
      <c r="AC222" s="460"/>
      <c r="AD222" s="460"/>
    </row>
    <row r="223" spans="21:30" ht="13.2" customHeight="1" x14ac:dyDescent="0.25">
      <c r="U223" s="787"/>
      <c r="AC223" s="460"/>
      <c r="AD223" s="460"/>
    </row>
    <row r="224" spans="21:30" ht="13.2" customHeight="1" x14ac:dyDescent="0.25">
      <c r="AC224" s="460"/>
      <c r="AD224" s="460"/>
    </row>
    <row r="225" spans="29:30" ht="13.2" customHeight="1" x14ac:dyDescent="0.25">
      <c r="AC225" s="460"/>
      <c r="AD225" s="460"/>
    </row>
    <row r="226" spans="29:30" ht="13.2" customHeight="1" x14ac:dyDescent="0.25">
      <c r="AC226" s="460"/>
      <c r="AD226" s="460"/>
    </row>
    <row r="227" spans="29:30" ht="13.2" customHeight="1" x14ac:dyDescent="0.25">
      <c r="AC227" s="460"/>
      <c r="AD227" s="460"/>
    </row>
    <row r="228" spans="29:30" ht="13.2" customHeight="1" x14ac:dyDescent="0.25">
      <c r="AC228" s="460"/>
      <c r="AD228" s="460"/>
    </row>
    <row r="229" spans="29:30" ht="13.2" customHeight="1" x14ac:dyDescent="0.25">
      <c r="AC229" s="460"/>
      <c r="AD229" s="460"/>
    </row>
    <row r="230" spans="29:30" ht="13.2" customHeight="1" x14ac:dyDescent="0.25">
      <c r="AC230" s="460"/>
      <c r="AD230" s="460"/>
    </row>
    <row r="231" spans="29:30" ht="13.2" customHeight="1" x14ac:dyDescent="0.25">
      <c r="AC231" s="460"/>
      <c r="AD231" s="460"/>
    </row>
    <row r="232" spans="29:30" ht="13.2" customHeight="1" x14ac:dyDescent="0.25">
      <c r="AC232" s="460"/>
      <c r="AD232" s="460"/>
    </row>
    <row r="233" spans="29:30" ht="12" x14ac:dyDescent="0.25"/>
  </sheetData>
  <sheetProtection algorithmName="SHA-512" hashValue="rfuzdsJRY42mTbqtboEBNoV81ZivHezhTH0B+GOmvq7NWgImv7HfKl4CjxkRswYTj3vo9m9dxExeZO+sjoJMsw==" saltValue="nNaSkDUTJOUBoNgF+JcGtw==" spinCount="100000" sheet="1" objects="1" scenarios="1" selectLockedCells="1"/>
  <mergeCells count="100">
    <mergeCell ref="M159:N159"/>
    <mergeCell ref="M158:N158"/>
    <mergeCell ref="M155:N155"/>
    <mergeCell ref="J153:L153"/>
    <mergeCell ref="H153:I153"/>
    <mergeCell ref="M157:N157"/>
    <mergeCell ref="G157:L157"/>
    <mergeCell ref="H154:I154"/>
    <mergeCell ref="M154:N154"/>
    <mergeCell ref="M153:N153"/>
    <mergeCell ref="K156:L156"/>
    <mergeCell ref="H156:I156"/>
    <mergeCell ref="I159:J159"/>
    <mergeCell ref="I158:J158"/>
    <mergeCell ref="E158:H158"/>
    <mergeCell ref="E159:H159"/>
    <mergeCell ref="K159:L159"/>
    <mergeCell ref="K158:L158"/>
    <mergeCell ref="I144:J144"/>
    <mergeCell ref="L112:N112"/>
    <mergeCell ref="G128:Q128"/>
    <mergeCell ref="E140:Q140"/>
    <mergeCell ref="L145:N145"/>
    <mergeCell ref="E136:G136"/>
    <mergeCell ref="K136:Q136"/>
    <mergeCell ref="E155:G155"/>
    <mergeCell ref="E154:G154"/>
    <mergeCell ref="K155:L155"/>
    <mergeCell ref="K154:L154"/>
    <mergeCell ref="H155:I155"/>
    <mergeCell ref="C178:D181"/>
    <mergeCell ref="E175:L175"/>
    <mergeCell ref="C171:Q173"/>
    <mergeCell ref="M168:Q168"/>
    <mergeCell ref="E168:L168"/>
    <mergeCell ref="E164:Q164"/>
    <mergeCell ref="O175:Q175"/>
    <mergeCell ref="K165:Q165"/>
    <mergeCell ref="E166:Q167"/>
    <mergeCell ref="C175:D175"/>
    <mergeCell ref="C162:D168"/>
    <mergeCell ref="E162:M162"/>
    <mergeCell ref="E163:Q163"/>
    <mergeCell ref="E165:J165"/>
    <mergeCell ref="K181:L181"/>
    <mergeCell ref="C140:D140"/>
    <mergeCell ref="L139:N139"/>
    <mergeCell ref="I111:J111"/>
    <mergeCell ref="L124:N124"/>
    <mergeCell ref="E75:G75"/>
    <mergeCell ref="L104:N104"/>
    <mergeCell ref="H75:J75"/>
    <mergeCell ref="K80:N80"/>
    <mergeCell ref="K82:M82"/>
    <mergeCell ref="F132:H132"/>
    <mergeCell ref="F134:H134"/>
    <mergeCell ref="J133:M133"/>
    <mergeCell ref="J135:M135"/>
    <mergeCell ref="I123:J123"/>
    <mergeCell ref="H76:J76"/>
    <mergeCell ref="AQ1:AR1"/>
    <mergeCell ref="K4:L4"/>
    <mergeCell ref="F10:I10"/>
    <mergeCell ref="AO1:AP1"/>
    <mergeCell ref="L1:M1"/>
    <mergeCell ref="A4:J4"/>
    <mergeCell ref="A5:R5"/>
    <mergeCell ref="A2:S3"/>
    <mergeCell ref="G1:K1"/>
    <mergeCell ref="F11:Q11"/>
    <mergeCell ref="C14:M14"/>
    <mergeCell ref="N14:O14"/>
    <mergeCell ref="A6:S6"/>
    <mergeCell ref="E12:H12"/>
    <mergeCell ref="F16:I16"/>
    <mergeCell ref="C7:Q8"/>
    <mergeCell ref="I24:K24"/>
    <mergeCell ref="G19:I19"/>
    <mergeCell ref="C27:Q27"/>
    <mergeCell ref="H26:K26"/>
    <mergeCell ref="I23:K23"/>
    <mergeCell ref="K18:M18"/>
    <mergeCell ref="K19:M19"/>
    <mergeCell ref="N26:Q26"/>
    <mergeCell ref="O60:P60"/>
    <mergeCell ref="Q18:R18"/>
    <mergeCell ref="O20:Q20"/>
    <mergeCell ref="C20:N20"/>
    <mergeCell ref="C21:Q21"/>
    <mergeCell ref="J29:M29"/>
    <mergeCell ref="O73:P73"/>
    <mergeCell ref="H71:I71"/>
    <mergeCell ref="G65:Q65"/>
    <mergeCell ref="H62:J62"/>
    <mergeCell ref="E61:G61"/>
    <mergeCell ref="O71:P71"/>
    <mergeCell ref="L74:N74"/>
    <mergeCell ref="H61:J61"/>
    <mergeCell ref="L72:N72"/>
    <mergeCell ref="H73:I73"/>
  </mergeCells>
  <phoneticPr fontId="79" type="noConversion"/>
  <conditionalFormatting sqref="C20 O20">
    <cfRule type="cellIs" dxfId="41" priority="2340" operator="equal">
      <formula>$T$37</formula>
    </cfRule>
    <cfRule type="cellIs" dxfId="40" priority="2341" operator="equal">
      <formula>$T$38</formula>
    </cfRule>
  </conditionalFormatting>
  <conditionalFormatting sqref="C21">
    <cfRule type="cellIs" dxfId="39" priority="2348" operator="equal">
      <formula>$T$45</formula>
    </cfRule>
  </conditionalFormatting>
  <conditionalFormatting sqref="C162">
    <cfRule type="cellIs" dxfId="38" priority="1317" operator="equal">
      <formula>$T$120</formula>
    </cfRule>
  </conditionalFormatting>
  <conditionalFormatting sqref="C178">
    <cfRule type="cellIs" dxfId="37" priority="1316" operator="equal">
      <formula>$T$121</formula>
    </cfRule>
  </conditionalFormatting>
  <conditionalFormatting sqref="C17:E17 C24:E25">
    <cfRule type="cellIs" dxfId="36" priority="2307" operator="equal">
      <formula>$U$26</formula>
    </cfRule>
    <cfRule type="cellIs" dxfId="35" priority="2309" operator="equal">
      <formula>$U$11</formula>
    </cfRule>
  </conditionalFormatting>
  <conditionalFormatting sqref="C20:N20">
    <cfRule type="cellIs" dxfId="34" priority="2349" operator="equal">
      <formula>$T$36</formula>
    </cfRule>
  </conditionalFormatting>
  <conditionalFormatting sqref="C27:Q27">
    <cfRule type="cellIs" dxfId="33" priority="2350" operator="equal">
      <formula>$T$44</formula>
    </cfRule>
    <cfRule type="cellIs" dxfId="32" priority="2351" operator="equal">
      <formula>$U$26</formula>
    </cfRule>
    <cfRule type="cellIs" dxfId="31" priority="2352" operator="equal">
      <formula>$T$41</formula>
    </cfRule>
  </conditionalFormatting>
  <conditionalFormatting sqref="E11 L72:N72 L74:N74 L124:N127 L129:N130 L131:M131 K132:L132 K134:L134 L136:M137 W184:X184 Y188">
    <cfRule type="cellIs" dxfId="30" priority="2284" operator="equal">
      <formula>$U$11</formula>
    </cfRule>
  </conditionalFormatting>
  <conditionalFormatting sqref="G56:J60">
    <cfRule type="cellIs" dxfId="29" priority="2282" operator="equal">
      <formula>$U$11</formula>
    </cfRule>
    <cfRule type="cellIs" dxfId="28" priority="2283" operator="greaterThan">
      <formula>$U$11</formula>
    </cfRule>
  </conditionalFormatting>
  <conditionalFormatting sqref="H18:I18 G19 I20 I22:I23">
    <cfRule type="cellIs" dxfId="27" priority="2293" operator="equal">
      <formula>$U$26</formula>
    </cfRule>
  </conditionalFormatting>
  <conditionalFormatting sqref="H18:J18 G19 I20:K20 I22:K23 C17:E17 K17 K19 C24:E25 C27:Q27">
    <cfRule type="cellIs" dxfId="26" priority="2296" operator="equal">
      <formula>$U$26</formula>
    </cfRule>
  </conditionalFormatting>
  <conditionalFormatting sqref="H53:J62 H64:J64 H66:J79 J80 H81:J81 J82:K82 Q82 H83:H85 J84 H87:J89 H90:I90 H91:J93 F16 H18:I18 G19 I20 I22:I23 L53:L62 L64 L66:L79 P76 L79:N79 Q80 L81:N81 N82:N83 L84:N85 L87:L93 N88 L89:N89 L104:N104 L112 M114:N114 M116:N116 L118:N118 L120:N120 L122:N122 L127 L129:L131 K132 K134 L136:L137 L139 L141 L145 T193:U193">
    <cfRule type="cellIs" dxfId="25" priority="2235" operator="equal">
      <formula>$U$11</formula>
    </cfRule>
  </conditionalFormatting>
  <conditionalFormatting sqref="I158">
    <cfRule type="cellIs" dxfId="24" priority="41" operator="lessThan">
      <formula>43831</formula>
    </cfRule>
  </conditionalFormatting>
  <conditionalFormatting sqref="I159">
    <cfRule type="cellIs" dxfId="23" priority="31" operator="lessThan">
      <formula>1</formula>
    </cfRule>
  </conditionalFormatting>
  <conditionalFormatting sqref="I24:K25">
    <cfRule type="cellIs" dxfId="22" priority="2315" operator="equal">
      <formula>$U$11</formula>
    </cfRule>
    <cfRule type="cellIs" dxfId="21" priority="2316" operator="equal">
      <formula>$U$26</formula>
    </cfRule>
  </conditionalFormatting>
  <conditionalFormatting sqref="J153">
    <cfRule type="cellIs" dxfId="20" priority="1311" operator="equal">
      <formula>$T$115</formula>
    </cfRule>
    <cfRule type="cellIs" dxfId="19" priority="1313" operator="equal">
      <formula>$T$116</formula>
    </cfRule>
  </conditionalFormatting>
  <conditionalFormatting sqref="K19">
    <cfRule type="cellIs" dxfId="18" priority="2313" operator="equal">
      <formula>$U$11</formula>
    </cfRule>
  </conditionalFormatting>
  <conditionalFormatting sqref="K83:M83">
    <cfRule type="cellIs" dxfId="17" priority="2320" operator="equal">
      <formula>$U$26</formula>
    </cfRule>
    <cfRule type="cellIs" dxfId="16" priority="2321" operator="equal">
      <formula>$U$11</formula>
    </cfRule>
  </conditionalFormatting>
  <conditionalFormatting sqref="K126:M130 M131 J133 J135 K136 K137:M137 K139:L139 K141:L141">
    <cfRule type="cellIs" dxfId="15" priority="2228" operator="equal">
      <formula>$U$21</formula>
    </cfRule>
  </conditionalFormatting>
  <conditionalFormatting sqref="M26">
    <cfRule type="cellIs" dxfId="14" priority="48" operator="greaterThan">
      <formula>20</formula>
    </cfRule>
  </conditionalFormatting>
  <conditionalFormatting sqref="N18">
    <cfRule type="cellIs" dxfId="13" priority="2" operator="equal">
      <formula>0</formula>
    </cfRule>
  </conditionalFormatting>
  <conditionalFormatting sqref="N26">
    <cfRule type="cellIs" dxfId="12" priority="2339" operator="equal">
      <formula>$T$42</formula>
    </cfRule>
  </conditionalFormatting>
  <conditionalFormatting sqref="O60:P60">
    <cfRule type="cellIs" dxfId="11" priority="45" operator="equal">
      <formula>$T$89</formula>
    </cfRule>
  </conditionalFormatting>
  <conditionalFormatting sqref="O71:P71 O73:P73">
    <cfRule type="cellIs" dxfId="10" priority="2361" operator="greaterThan">
      <formula>$O$60</formula>
    </cfRule>
    <cfRule type="cellIs" dxfId="9" priority="2362" operator="equal">
      <formula>$O$60</formula>
    </cfRule>
  </conditionalFormatting>
  <conditionalFormatting sqref="O20:Q20">
    <cfRule type="cellIs" dxfId="8" priority="2353" operator="equal">
      <formula>$T$39</formula>
    </cfRule>
    <cfRule type="cellIs" dxfId="7" priority="2354" operator="equal">
      <formula>$T$40</formula>
    </cfRule>
    <cfRule type="cellIs" dxfId="6" priority="2355" operator="equal">
      <formula>#REF!</formula>
    </cfRule>
    <cfRule type="cellIs" dxfId="5" priority="2356" operator="equal">
      <formula>#REF!</formula>
    </cfRule>
  </conditionalFormatting>
  <conditionalFormatting sqref="Q18">
    <cfRule type="cellIs" dxfId="3" priority="2302" operator="equal">
      <formula>$U$31</formula>
    </cfRule>
    <cfRule type="cellIs" dxfId="2" priority="2303" operator="equal">
      <formula>$U$34</formula>
    </cfRule>
    <cfRule type="cellIs" dxfId="1" priority="2304" operator="equal">
      <formula>$U$34</formula>
    </cfRule>
  </conditionalFormatting>
  <conditionalFormatting sqref="L86">
    <cfRule type="cellIs" dxfId="0" priority="1" operator="equal">
      <formula>$V$45</formula>
    </cfRule>
  </conditionalFormatting>
  <dataValidations count="32">
    <dataValidation type="list" allowBlank="1" showInputMessage="1" showErrorMessage="1" sqref="J132" xr:uid="{00000000-0002-0000-0000-000008000000}">
      <formula1>$AO$2:$AO$22</formula1>
    </dataValidation>
    <dataValidation type="list" allowBlank="1" showInputMessage="1" showErrorMessage="1" sqref="J134" xr:uid="{00000000-0002-0000-0000-000009000000}">
      <formula1>$AQ$2:$AQ$22</formula1>
    </dataValidation>
    <dataValidation type="list" allowBlank="1" showInputMessage="1" showErrorMessage="1" sqref="F132" xr:uid="{00000000-0002-0000-0000-00000C000000}">
      <formula1>$AS$1:$AS$4</formula1>
    </dataValidation>
    <dataValidation type="list" allowBlank="1" showInputMessage="1" showErrorMessage="1" sqref="F134" xr:uid="{00000000-0002-0000-0000-00000F000000}">
      <formula1>$AS$21:$AS$24</formula1>
    </dataValidation>
    <dataValidation type="list" allowBlank="1" showInputMessage="1" showErrorMessage="1" sqref="M134" xr:uid="{00000000-0002-0000-0000-000010000000}">
      <formula1>$AR$2:$AR$79</formula1>
    </dataValidation>
    <dataValidation type="list" allowBlank="1" showInputMessage="1" showErrorMessage="1" sqref="M132" xr:uid="{00000000-0002-0000-0000-000011000000}">
      <formula1>$AP$2:$AP$79</formula1>
    </dataValidation>
    <dataValidation type="list" allowBlank="1" showInputMessage="1" showErrorMessage="1" sqref="L1:M1" xr:uid="{00000000-0002-0000-0000-000000000000}">
      <formula1>$T$1:$T$4</formula1>
    </dataValidation>
    <dataValidation type="list" allowBlank="1" showInputMessage="1" showErrorMessage="1" sqref="M148 M47 M41 M49 M37 M90 M43 M121 M115 M117 M119 M146 M109 M97 M95 M101 M103 M99 M113 I138 M39 M92 M106 M51:M62 M86" xr:uid="{00000000-0002-0000-0000-000015000000}">
      <formula1>$AF$25:$AF$75</formula1>
    </dataValidation>
    <dataValidation type="list" allowBlank="1" showInputMessage="1" showErrorMessage="1" sqref="M138" xr:uid="{00000000-0002-0000-0000-00001E000000}">
      <formula1>$AG$25:$AG$108</formula1>
    </dataValidation>
    <dataValidation type="list" allowBlank="1" showInputMessage="1" showErrorMessage="1" sqref="M142 M54 M56 M58 M60" xr:uid="{77A5648D-BEB3-4244-A237-ED3444B99158}">
      <formula1>$AE$25:$AE$170</formula1>
    </dataValidation>
    <dataValidation type="list" allowBlank="1" showInputMessage="1" showErrorMessage="1" sqref="H61:J61" xr:uid="{00000000-0002-0000-0000-000001000000}">
      <formula1>$AS$49:$AS$54</formula1>
    </dataValidation>
    <dataValidation type="list" allowBlank="1" showInputMessage="1" showErrorMessage="1" sqref="I23" xr:uid="{00000000-0002-0000-0000-000027000000}">
      <formula1>$AS$42:$AS$47</formula1>
    </dataValidation>
    <dataValidation type="list" allowBlank="1" showInputMessage="1" showErrorMessage="1" sqref="H75:J75" xr:uid="{00000000-0002-0000-0000-000005000000}">
      <formula1>$AS$57:$AS$62</formula1>
    </dataValidation>
    <dataValidation type="list" allowBlank="1" showInputMessage="1" showErrorMessage="1" sqref="M78 M88" xr:uid="{CC45E527-AE59-4C07-973D-CAF3CB645DFC}">
      <formula1>$AF$25:$AF$35</formula1>
    </dataValidation>
    <dataValidation type="list" allowBlank="1" showInputMessage="1" showErrorMessage="1" sqref="N14:O14" xr:uid="{3480F4FB-E6D6-466F-A864-7256611BA809}">
      <formula1>$U$1:$U$3</formula1>
    </dataValidation>
    <dataValidation type="list" allowBlank="1" showInputMessage="1" showErrorMessage="1" sqref="M144" xr:uid="{00000000-0002-0000-0000-000020000000}">
      <formula1>$AH$25:$AH$75</formula1>
    </dataValidation>
    <dataValidation type="list" allowBlank="1" showInputMessage="1" showErrorMessage="1" sqref="M34 M30 M32" xr:uid="{F0D447CE-ED07-4214-B268-71BA11590B24}">
      <formula1>$AK$25:$AK$75</formula1>
    </dataValidation>
    <dataValidation type="list" allowBlank="1" showInputMessage="1" showErrorMessage="1" sqref="M71" xr:uid="{00000000-0002-0000-0000-000021000000}">
      <formula1>$AI$25:$AI$170</formula1>
    </dataValidation>
    <dataValidation type="list" allowBlank="1" showInputMessage="1" showErrorMessage="1" sqref="M73" xr:uid="{00000000-0002-0000-0000-000019000000}">
      <formula1>$AJ$25:$AJ$170</formula1>
    </dataValidation>
    <dataValidation type="list" allowBlank="1" showInputMessage="1" showErrorMessage="1" sqref="M111" xr:uid="{DD173ACF-7A3D-4119-82C6-5B2F965B80BB}">
      <formula1>$AL$25:$AL$75</formula1>
    </dataValidation>
    <dataValidation type="list" allowBlank="1" showInputMessage="1" showErrorMessage="1" sqref="M123" xr:uid="{1B5F692B-2556-4D44-AAC9-CC5172252FC6}">
      <formula1>$AM$25:$AM$75</formula1>
    </dataValidation>
    <dataValidation type="list" allowBlank="1" showInputMessage="1" showErrorMessage="1" sqref="M150" xr:uid="{00000000-0002-0000-0000-00001A000000}">
      <formula1>$AO$25:$AO$43</formula1>
    </dataValidation>
    <dataValidation type="list" allowBlank="1" showInputMessage="1" showErrorMessage="1" sqref="H18" xr:uid="{00000000-0002-0000-0000-000004000000}">
      <formula1>$W$3:$W$149</formula1>
    </dataValidation>
    <dataValidation type="list" allowBlank="1" showInputMessage="1" showErrorMessage="1" sqref="K18:M18" xr:uid="{6668A26B-8567-4635-BC3B-25D78A438D30}">
      <formula1>$X$10:$X$15</formula1>
    </dataValidation>
    <dataValidation type="list" allowBlank="1" showInputMessage="1" showErrorMessage="1" sqref="K80:N80" xr:uid="{00000000-0002-0000-0000-00000A000000}">
      <formula1>$AU$2:$AU$6</formula1>
    </dataValidation>
    <dataValidation type="list" allowBlank="1" showInputMessage="1" showErrorMessage="1" sqref="G73" xr:uid="{00000000-0002-0000-0000-00001C000000}">
      <formula1>$Z$70:$Z$72</formula1>
    </dataValidation>
    <dataValidation type="list" allowBlank="1" showInputMessage="1" showErrorMessage="1" sqref="G71" xr:uid="{00000000-0002-0000-0000-00001D000000}">
      <formula1>$Z$75:$Z$77</formula1>
    </dataValidation>
    <dataValidation type="list" allowBlank="1" showInputMessage="1" showErrorMessage="1" sqref="I144" xr:uid="{00000000-0002-0000-0000-00000E000000}">
      <formula1>$Z$64:$Z$67</formula1>
    </dataValidation>
    <dataValidation type="list" allowBlank="1" showInputMessage="1" showErrorMessage="1" sqref="M45" xr:uid="{CC151936-49BD-432C-8EA8-0604D4C466BC}">
      <formula1>$Z$79:$Z$84</formula1>
    </dataValidation>
    <dataValidation type="list" allowBlank="1" showInputMessage="1" showErrorMessage="1" sqref="I111:J111" xr:uid="{362D9890-DB8B-411F-BD60-619303768C06}">
      <formula1>$Z$86:$Z$91</formula1>
    </dataValidation>
    <dataValidation type="list" allowBlank="1" showInputMessage="1" showErrorMessage="1" sqref="I123" xr:uid="{BEFA816B-9EAD-47D1-A354-8319D11692BA}">
      <formula1>$Z$93:$Z$96</formula1>
    </dataValidation>
    <dataValidation type="list" allowBlank="1" showInputMessage="1" showErrorMessage="1" sqref="K82:M82" xr:uid="{235FA0F3-D726-4540-AD3F-EC8B39210AB1}">
      <formula1>$AT$12:$AT$16</formula1>
    </dataValidation>
  </dataValidations>
  <hyperlinks>
    <hyperlink ref="H80" location="Inf.!C4" display="Inf.!C4" xr:uid="{00000000-0004-0000-0000-000000000000}"/>
    <hyperlink ref="G82" location="Inf.!C19" display="Inf.!C19" xr:uid="{00000000-0004-0000-0000-000001000000}"/>
    <hyperlink ref="H80" location="'Ler+'!C29" display="'Ler+'!C29" xr:uid="{00000000-0004-0000-0000-000004000000}"/>
    <hyperlink ref="G82" location="'Ler+'!C38" display="'Ler+'!C38" xr:uid="{00000000-0004-0000-0000-000005000000}"/>
    <hyperlink ref="J84" location="'Ler+'!C48" display="'Ler+'!C48" xr:uid="{00000000-0004-0000-0000-000006000000}"/>
    <hyperlink ref="H88" location="Inf.!C4" display="Inf.!C4" xr:uid="{00000000-0004-0000-0000-000007000000}"/>
    <hyperlink ref="H88" location="'Ler+'!C55" display="'Ler+'!C55" xr:uid="{00000000-0004-0000-0000-000008000000}"/>
    <hyperlink ref="G94" location="'Ler+'!C62" display="'Ler+'!C62" xr:uid="{00000000-0004-0000-0000-000009000000}"/>
    <hyperlink ref="G142" location="'Ler+'!C122" display="'Ler+'!C122" xr:uid="{00000000-0004-0000-0000-00000A000000}"/>
    <hyperlink ref="H150" location="Inf.!C19" display="Inf.!C19" xr:uid="{00000000-0004-0000-0000-00000B000000}"/>
    <hyperlink ref="H150" location="'Ler+'!C150" display="'Ler+'!C150" xr:uid="{00000000-0004-0000-0000-00000C000000}"/>
    <hyperlink ref="H148" location="'Ler+'!C142" display="'Ler+'!C142" xr:uid="{00000000-0004-0000-0000-00000D000000}"/>
    <hyperlink ref="I29" location="'Ler+'!C13" display="'Ler+'!C13" xr:uid="{00000000-0004-0000-0000-000013000000}"/>
    <hyperlink ref="G108" location="'Ler+'!C69" display="'Ler+'!C69" xr:uid="{00000000-0004-0000-0000-000014000000}"/>
    <hyperlink ref="F138" location="'Ler+'!C113" display="'Ler+'!C113" xr:uid="{00000000-0004-0000-0000-000015000000}"/>
    <hyperlink ref="G144" location="'Ler+'!C138" display="'Ler+'!C138" xr:uid="{00000000-0004-0000-0000-000016000000}"/>
    <hyperlink ref="E131" location="'Ler+'!C105" display="'Ler+'!C105" xr:uid="{00000000-0004-0000-0000-000017000000}"/>
    <hyperlink ref="K70" location="'Ler+'!C24" display="'Ler+'!C24" xr:uid="{00000000-0004-0000-0000-000019000000}"/>
    <hyperlink ref="K165" r:id="rId1"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8ED88C22-C51A-4E97-8985-37BC59F40068}"/>
    <hyperlink ref="J45" location="'Ler+'!C19" display="'Ler+'!C19" xr:uid="{E43FD3D1-1682-433B-9EC3-075F4C96FD3B}"/>
    <hyperlink ref="M168" r:id="rId2" xr:uid="{EF279DF4-13E2-47AD-9EF8-4C473AD8C09B}"/>
    <hyperlink ref="G123" location="'Ler+'!C100" display="'Ler+'!C100" xr:uid="{B7BB88F8-A4F9-42D1-ABB6-5788F90352E8}"/>
    <hyperlink ref="K181" r:id="rId3" xr:uid="{E2D05C96-9966-4FAA-815F-D35B34946B71}"/>
    <hyperlink ref="F18" location="Stand!H2" display="Stand!H2" xr:uid="{4C5CB713-3DEA-4D74-BC4B-3AE9393BA003}"/>
  </hyperlinks>
  <printOptions horizontalCentered="1" verticalCentered="1"/>
  <pageMargins left="0.19685039370078741" right="0.19685039370078741" top="0.19685039370078741" bottom="0.59055118110236227" header="0" footer="0"/>
  <pageSetup paperSize="9" orientation="portrait" r:id="rId4"/>
  <rowBreaks count="2" manualBreakCount="2">
    <brk id="63" max="18" man="1"/>
    <brk id="126" max="18" man="1"/>
  </rowBreaks>
  <drawing r:id="rId5"/>
  <extLst>
    <ext xmlns:x14="http://schemas.microsoft.com/office/spreadsheetml/2009/9/main" uri="{78C0D931-6437-407d-A8EE-F0AAD7539E65}">
      <x14:conditionalFormattings>
        <x14:conditionalFormatting xmlns:xm="http://schemas.microsoft.com/office/excel/2006/main">
          <x14:cfRule type="cellIs" priority="1640" operator="equal" id="{00000000-000E-0000-0000-000030060000}">
            <xm:f>'T1'!$K$21</xm:f>
            <x14:dxf>
              <font>
                <b/>
                <i val="0"/>
                <color theme="3"/>
              </font>
              <fill>
                <patternFill>
                  <bgColor theme="9" tint="0.79998168889431442"/>
                </patternFill>
              </fill>
            </x14:dxf>
          </x14:cfRule>
          <xm:sqref>Q18 H53:J62 H64:J64 H66:J79 J80 H81:J81 K82 Q82 H83:H85 J84 H87:J89 H90:I90 H91:J93 L144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W165"/>
  <sheetViews>
    <sheetView showGridLines="0" zoomScaleNormal="100" workbookViewId="0">
      <selection activeCell="H2" sqref="H2:L3"/>
    </sheetView>
  </sheetViews>
  <sheetFormatPr defaultColWidth="9.109375" defaultRowHeight="12.6" customHeight="1" x14ac:dyDescent="0.25"/>
  <cols>
    <col min="1" max="1" width="2.109375" style="74" customWidth="1"/>
    <col min="2" max="2" width="1.44140625" style="74" customWidth="1"/>
    <col min="3" max="3" width="5.77734375" style="74" customWidth="1"/>
    <col min="4" max="4" width="6.44140625" style="74" customWidth="1"/>
    <col min="5" max="5" width="8.109375" style="74" customWidth="1"/>
    <col min="6" max="6" width="6" style="74" customWidth="1"/>
    <col min="7" max="7" width="7.5546875" style="74" customWidth="1"/>
    <col min="8" max="8" width="5.44140625" style="74" customWidth="1"/>
    <col min="9" max="9" width="5.88671875" style="74" customWidth="1"/>
    <col min="10" max="10" width="6.33203125" style="74" customWidth="1"/>
    <col min="11" max="11" width="6.5546875" style="74" customWidth="1"/>
    <col min="12" max="12" width="6.44140625" style="74" customWidth="1"/>
    <col min="13" max="13" width="6.88671875" style="74" customWidth="1"/>
    <col min="14" max="14" width="5.6640625" style="74" customWidth="1"/>
    <col min="15" max="16" width="6.44140625" style="74" customWidth="1"/>
    <col min="17" max="17" width="6" style="74" customWidth="1"/>
    <col min="18" max="18" width="1.44140625" style="74" customWidth="1"/>
    <col min="19" max="19" width="1.44140625" style="92" customWidth="1"/>
    <col min="20" max="20" width="3.6640625" style="74" customWidth="1"/>
    <col min="21" max="21" width="3.5546875" style="74" bestFit="1" customWidth="1"/>
    <col min="22" max="22" width="9.109375" style="74" bestFit="1" customWidth="1"/>
    <col min="23" max="23" width="5.6640625" style="74" bestFit="1" customWidth="1"/>
    <col min="24" max="24" width="6.33203125" style="74" customWidth="1"/>
    <col min="25" max="25" width="8.6640625" style="74" customWidth="1"/>
    <col min="26" max="26" width="6.5546875" style="74" customWidth="1"/>
    <col min="27" max="27" width="7.44140625" style="74" customWidth="1"/>
    <col min="28" max="28" width="3.5546875" style="74" bestFit="1" customWidth="1"/>
    <col min="29" max="29" width="4.88671875" style="74" bestFit="1" customWidth="1"/>
    <col min="30" max="16384" width="9.109375" style="74"/>
  </cols>
  <sheetData>
    <row r="1" spans="1:23" ht="12.6" customHeight="1" thickTop="1" x14ac:dyDescent="0.2">
      <c r="A1" s="118"/>
      <c r="B1" s="115"/>
      <c r="C1" s="115"/>
      <c r="D1" s="115"/>
      <c r="E1" s="115"/>
      <c r="F1" s="115"/>
      <c r="G1" s="115"/>
      <c r="H1" s="115"/>
      <c r="I1" s="115"/>
      <c r="J1" s="115"/>
      <c r="K1" s="115"/>
      <c r="L1" s="115"/>
      <c r="M1" s="116"/>
      <c r="N1" s="115"/>
      <c r="O1" s="115"/>
      <c r="P1" s="115"/>
      <c r="Q1" s="115"/>
      <c r="R1" s="115"/>
      <c r="S1" s="119"/>
    </row>
    <row r="2" spans="1:23" ht="12.6" customHeight="1" x14ac:dyDescent="0.2">
      <c r="A2" s="120"/>
      <c r="H2" s="932" t="str">
        <f>'T1'!$C$25</f>
        <v>Ler+</v>
      </c>
      <c r="I2" s="932"/>
      <c r="J2" s="932"/>
      <c r="K2" s="932"/>
      <c r="L2" s="932"/>
      <c r="M2" s="75"/>
      <c r="S2" s="121"/>
    </row>
    <row r="3" spans="1:23" ht="12.6" customHeight="1" x14ac:dyDescent="0.2">
      <c r="A3" s="120"/>
      <c r="H3" s="932"/>
      <c r="I3" s="932"/>
      <c r="J3" s="932"/>
      <c r="K3" s="932"/>
      <c r="L3" s="932"/>
      <c r="M3" s="75"/>
      <c r="S3" s="121"/>
    </row>
    <row r="4" spans="1:23" ht="12.6" customHeight="1" x14ac:dyDescent="0.2">
      <c r="A4" s="120"/>
      <c r="G4" s="76"/>
      <c r="H4" s="76"/>
      <c r="I4" s="76"/>
      <c r="J4" s="76"/>
      <c r="K4" s="76"/>
      <c r="L4" s="76"/>
      <c r="M4" s="76"/>
      <c r="S4" s="121"/>
    </row>
    <row r="5" spans="1:23" ht="12.6" customHeight="1" x14ac:dyDescent="0.2">
      <c r="A5" s="122"/>
      <c r="B5" s="100"/>
      <c r="C5" s="100"/>
      <c r="D5" s="100"/>
      <c r="E5" s="100"/>
      <c r="F5" s="100"/>
      <c r="G5" s="173"/>
      <c r="H5" s="173"/>
      <c r="I5" s="173"/>
      <c r="J5" s="173"/>
      <c r="K5" s="173"/>
      <c r="L5" s="173"/>
      <c r="M5" s="173"/>
      <c r="N5" s="100"/>
      <c r="O5" s="100"/>
      <c r="P5" s="100"/>
      <c r="Q5" s="100"/>
      <c r="R5" s="100"/>
      <c r="S5" s="123"/>
    </row>
    <row r="6" spans="1:23" ht="12.6" customHeight="1" x14ac:dyDescent="0.2">
      <c r="A6" s="120"/>
      <c r="D6" s="101"/>
      <c r="E6" s="101"/>
      <c r="F6" s="101"/>
      <c r="G6" s="101"/>
      <c r="H6" s="101"/>
      <c r="I6" s="101"/>
      <c r="J6" s="101"/>
      <c r="K6" s="101"/>
      <c r="L6" s="101"/>
      <c r="M6" s="101"/>
      <c r="N6" s="101"/>
      <c r="O6" s="101"/>
      <c r="P6" s="101"/>
      <c r="Q6" s="101"/>
      <c r="S6" s="121"/>
      <c r="W6" s="90"/>
    </row>
    <row r="7" spans="1:23" ht="12.6" customHeight="1" x14ac:dyDescent="0.2">
      <c r="A7" s="120"/>
      <c r="C7" s="110" t="s">
        <v>34</v>
      </c>
      <c r="D7" s="913" t="str">
        <f>'L2'!$A$3</f>
        <v>Para proceder a uma correcta montagem dos equipamentos/serviços, é imprescindível o envio do PLANO TÉCNICO, com indicação da localização pretendida.</v>
      </c>
      <c r="E7" s="913"/>
      <c r="F7" s="913"/>
      <c r="G7" s="913"/>
      <c r="H7" s="913"/>
      <c r="I7" s="913"/>
      <c r="J7" s="913"/>
      <c r="K7" s="913"/>
      <c r="L7" s="913"/>
      <c r="M7" s="913"/>
      <c r="N7" s="913"/>
      <c r="O7" s="913"/>
      <c r="P7" s="913"/>
      <c r="Q7" s="913"/>
      <c r="S7" s="121"/>
    </row>
    <row r="8" spans="1:23" ht="12.6" customHeight="1" x14ac:dyDescent="0.2">
      <c r="A8" s="120"/>
      <c r="C8" s="117"/>
      <c r="D8" s="913"/>
      <c r="E8" s="913"/>
      <c r="F8" s="913"/>
      <c r="G8" s="913"/>
      <c r="H8" s="913"/>
      <c r="I8" s="913"/>
      <c r="J8" s="913"/>
      <c r="K8" s="913"/>
      <c r="L8" s="913"/>
      <c r="M8" s="913"/>
      <c r="N8" s="913"/>
      <c r="O8" s="913"/>
      <c r="P8" s="913"/>
      <c r="Q8" s="913"/>
      <c r="S8" s="121"/>
    </row>
    <row r="9" spans="1:23" ht="12.6" customHeight="1" x14ac:dyDescent="0.2">
      <c r="A9" s="120"/>
      <c r="C9" s="110" t="s">
        <v>34</v>
      </c>
      <c r="D9" s="913" t="str">
        <f>'L2'!$A$8</f>
        <v xml:space="preserve">Todos os serviços/material são fornecidos em regime de aluguer durante o período de realização do Certame e são entregues aos Expositores na última tarde de montagem. </v>
      </c>
      <c r="E9" s="913"/>
      <c r="F9" s="913"/>
      <c r="G9" s="913"/>
      <c r="H9" s="913"/>
      <c r="I9" s="913"/>
      <c r="J9" s="913"/>
      <c r="K9" s="913"/>
      <c r="L9" s="913"/>
      <c r="M9" s="913"/>
      <c r="N9" s="913"/>
      <c r="O9" s="913"/>
      <c r="P9" s="913"/>
      <c r="Q9" s="913"/>
      <c r="S9" s="121"/>
    </row>
    <row r="10" spans="1:23" ht="12.6" customHeight="1" x14ac:dyDescent="0.2">
      <c r="A10" s="120"/>
      <c r="D10" s="913"/>
      <c r="E10" s="913"/>
      <c r="F10" s="913"/>
      <c r="G10" s="913"/>
      <c r="H10" s="913"/>
      <c r="I10" s="913"/>
      <c r="J10" s="913"/>
      <c r="K10" s="913"/>
      <c r="L10" s="913"/>
      <c r="M10" s="913"/>
      <c r="N10" s="913"/>
      <c r="O10" s="913"/>
      <c r="P10" s="913"/>
      <c r="Q10" s="913"/>
      <c r="S10" s="121"/>
    </row>
    <row r="11" spans="1:23" ht="12.6" customHeight="1" x14ac:dyDescent="0.2">
      <c r="A11" s="120"/>
      <c r="G11" s="76"/>
      <c r="H11" s="76"/>
      <c r="I11" s="76"/>
      <c r="J11" s="76"/>
      <c r="K11" s="76"/>
      <c r="L11" s="76"/>
      <c r="M11" s="76"/>
      <c r="S11" s="121"/>
    </row>
    <row r="12" spans="1:23" ht="12.6" customHeight="1" x14ac:dyDescent="0.2">
      <c r="A12" s="120"/>
      <c r="G12" s="76"/>
      <c r="H12" s="76"/>
      <c r="I12" s="76"/>
      <c r="J12" s="76"/>
      <c r="K12" s="76"/>
      <c r="L12" s="76"/>
      <c r="M12" s="76"/>
      <c r="S12" s="121"/>
    </row>
    <row r="13" spans="1:23" ht="12.6" customHeight="1" x14ac:dyDescent="0.2">
      <c r="A13" s="120"/>
      <c r="C13" s="926" t="str">
        <f>'L1'!$A$13</f>
        <v>ARTES FINAIS</v>
      </c>
      <c r="D13" s="926"/>
      <c r="E13" s="926"/>
      <c r="F13" s="926"/>
      <c r="G13" s="926"/>
      <c r="H13" s="926"/>
      <c r="I13" s="926"/>
      <c r="J13" s="926"/>
      <c r="K13" s="114"/>
      <c r="M13" s="789" t="s">
        <v>153</v>
      </c>
      <c r="N13" s="114"/>
      <c r="S13" s="121"/>
    </row>
    <row r="14" spans="1:23" ht="12.6" customHeight="1" x14ac:dyDescent="0.2">
      <c r="A14" s="120"/>
      <c r="C14" s="887" t="str">
        <f>'L2'!$A$13</f>
        <v>IMAGENS PARA PRODUÇÃO E APLICAÇÃO devem ser enviadas em formato digital, preferencialmente em .PDF, .TIFF ou .JPEG, com uma resolução mínima de 72 dpi’s ao tamanho natural (1:1), com as fontes convertidas em curvas.</v>
      </c>
      <c r="D14" s="887"/>
      <c r="E14" s="887"/>
      <c r="F14" s="887"/>
      <c r="G14" s="887"/>
      <c r="H14" s="887"/>
      <c r="I14" s="887"/>
      <c r="J14" s="887"/>
      <c r="K14" s="887"/>
      <c r="L14" s="887"/>
      <c r="M14" s="887"/>
      <c r="N14" s="887"/>
      <c r="O14" s="887"/>
      <c r="P14" s="887"/>
      <c r="Q14" s="887"/>
      <c r="S14" s="121"/>
    </row>
    <row r="15" spans="1:23" ht="12.6" customHeight="1" x14ac:dyDescent="0.2">
      <c r="A15" s="120"/>
      <c r="C15" s="887"/>
      <c r="D15" s="887"/>
      <c r="E15" s="887"/>
      <c r="F15" s="887"/>
      <c r="G15" s="887"/>
      <c r="H15" s="887"/>
      <c r="I15" s="887"/>
      <c r="J15" s="887"/>
      <c r="K15" s="887"/>
      <c r="L15" s="887"/>
      <c r="M15" s="887"/>
      <c r="N15" s="887"/>
      <c r="O15" s="887"/>
      <c r="P15" s="887"/>
      <c r="Q15" s="887"/>
      <c r="S15" s="121"/>
    </row>
    <row r="16" spans="1:23" ht="12.6" customHeight="1" x14ac:dyDescent="0.2">
      <c r="A16" s="120"/>
      <c r="E16" s="927" t="str">
        <f>'L1'!$E$21</f>
        <v xml:space="preserve">As imagens devem ser enviadas até   </v>
      </c>
      <c r="F16" s="927"/>
      <c r="G16" s="927"/>
      <c r="H16" s="927"/>
      <c r="I16" s="927"/>
      <c r="J16" s="929">
        <f>'T1'!$C$7</f>
        <v>45325</v>
      </c>
      <c r="K16" s="929"/>
      <c r="L16" s="76"/>
      <c r="M16" s="76"/>
      <c r="S16" s="121"/>
    </row>
    <row r="17" spans="1:23" ht="12.6" customHeight="1" x14ac:dyDescent="0.2">
      <c r="A17" s="120"/>
      <c r="G17" s="76"/>
      <c r="H17" s="76"/>
      <c r="I17" s="76"/>
      <c r="J17" s="76"/>
      <c r="K17" s="76"/>
      <c r="L17" s="76"/>
      <c r="M17" s="76"/>
      <c r="S17" s="121"/>
    </row>
    <row r="18" spans="1:23" ht="12.6" customHeight="1" x14ac:dyDescent="0.2">
      <c r="A18" s="120"/>
      <c r="G18" s="76"/>
      <c r="H18" s="76"/>
      <c r="I18" s="76"/>
      <c r="J18" s="76"/>
      <c r="K18" s="76"/>
      <c r="L18" s="76"/>
      <c r="M18" s="76"/>
      <c r="S18" s="121"/>
    </row>
    <row r="19" spans="1:23" ht="12.6" customHeight="1" x14ac:dyDescent="0.2">
      <c r="A19" s="120"/>
      <c r="C19" s="926" t="str">
        <f>'T1'!$U$41</f>
        <v>Armazém com porta</v>
      </c>
      <c r="D19" s="926"/>
      <c r="E19" s="926"/>
      <c r="F19" s="926"/>
      <c r="G19" s="926"/>
      <c r="H19" s="926"/>
      <c r="I19" s="926"/>
      <c r="J19" s="926"/>
      <c r="K19" s="114"/>
      <c r="M19" s="789" t="s">
        <v>153</v>
      </c>
      <c r="N19" s="114"/>
      <c r="S19" s="121"/>
    </row>
    <row r="20" spans="1:23" ht="12.6" customHeight="1" x14ac:dyDescent="0.2">
      <c r="A20" s="120"/>
      <c r="E20" s="923" t="s">
        <v>892</v>
      </c>
      <c r="F20" s="925"/>
      <c r="G20" s="922" t="s">
        <v>893</v>
      </c>
      <c r="H20" s="923"/>
      <c r="I20" s="897" t="s">
        <v>894</v>
      </c>
      <c r="J20" s="920"/>
      <c r="K20" s="917" t="s">
        <v>895</v>
      </c>
      <c r="L20" s="917"/>
      <c r="M20" s="917" t="s">
        <v>891</v>
      </c>
      <c r="N20" s="917"/>
      <c r="S20" s="121"/>
    </row>
    <row r="21" spans="1:23" ht="12.6" customHeight="1" x14ac:dyDescent="0.2">
      <c r="A21" s="120"/>
      <c r="E21" s="921">
        <f>Serviços!$AA$80</f>
        <v>90.75</v>
      </c>
      <c r="F21" s="924"/>
      <c r="G21" s="918">
        <f>Serviços!$AA$81</f>
        <v>120.03</v>
      </c>
      <c r="H21" s="921"/>
      <c r="I21" s="903">
        <f>Serviços!$AA$82</f>
        <v>178.6</v>
      </c>
      <c r="J21" s="919"/>
      <c r="K21" s="916">
        <f>Serviços!$AA$83</f>
        <v>149.31</v>
      </c>
      <c r="L21" s="916"/>
      <c r="M21" s="918">
        <f>Serviços!$AA$84</f>
        <v>207.88</v>
      </c>
      <c r="N21" s="918"/>
      <c r="S21" s="121"/>
    </row>
    <row r="22" spans="1:23" ht="12.6" customHeight="1" x14ac:dyDescent="0.2">
      <c r="A22" s="120"/>
      <c r="G22" s="76"/>
      <c r="H22" s="76"/>
      <c r="I22" s="76"/>
      <c r="J22" s="76"/>
      <c r="K22" s="76"/>
      <c r="L22" s="76"/>
      <c r="M22" s="76"/>
      <c r="S22" s="121"/>
    </row>
    <row r="23" spans="1:23" ht="12.6" customHeight="1" x14ac:dyDescent="0.2">
      <c r="A23" s="120"/>
      <c r="G23" s="76"/>
      <c r="H23" s="76"/>
      <c r="I23" s="76"/>
      <c r="J23" s="76"/>
      <c r="K23" s="76"/>
      <c r="L23" s="76"/>
      <c r="M23" s="76"/>
      <c r="S23" s="121"/>
    </row>
    <row r="24" spans="1:23" ht="12.6" customHeight="1" x14ac:dyDescent="0.2">
      <c r="A24" s="120"/>
      <c r="C24" s="914" t="str">
        <f>'T1'!$S$21</f>
        <v xml:space="preserve">ESTRADOS </v>
      </c>
      <c r="D24" s="915"/>
      <c r="E24" s="914"/>
      <c r="F24" s="933" t="str">
        <f>'L1'!$C$6</f>
        <v>( &gt; 81 m2 sob orçamento)</v>
      </c>
      <c r="G24" s="933"/>
      <c r="H24" s="933"/>
      <c r="I24" s="933"/>
      <c r="J24" s="933"/>
      <c r="K24" s="76"/>
      <c r="M24" s="789" t="s">
        <v>153</v>
      </c>
      <c r="S24" s="121"/>
    </row>
    <row r="25" spans="1:23" ht="12.6" customHeight="1" x14ac:dyDescent="0.2">
      <c r="A25" s="120"/>
      <c r="C25" s="393"/>
      <c r="D25" s="885" t="str">
        <f>'T1'!$K$31</f>
        <v>SEM Alcatifa</v>
      </c>
      <c r="E25" s="886"/>
      <c r="F25" s="891" t="str">
        <f>'L1'!$E$1</f>
        <v>3,2 cm de altura</v>
      </c>
      <c r="G25" s="892"/>
      <c r="H25" s="891" t="str">
        <f>'L1'!$E$6</f>
        <v>10 cm de altura</v>
      </c>
      <c r="I25" s="892"/>
      <c r="K25" s="885" t="str">
        <f>'T1'!$K$26</f>
        <v>COM Alcatifa</v>
      </c>
      <c r="L25" s="886"/>
      <c r="M25" s="891" t="str">
        <f>'L1'!$E$1</f>
        <v>3,2 cm de altura</v>
      </c>
      <c r="N25" s="892"/>
      <c r="O25" s="891" t="str">
        <f>'L1'!$E$6</f>
        <v>10 cm de altura</v>
      </c>
      <c r="P25" s="892"/>
      <c r="S25" s="121"/>
    </row>
    <row r="26" spans="1:23" ht="12.6" customHeight="1" x14ac:dyDescent="0.2">
      <c r="A26" s="120"/>
      <c r="D26" s="930"/>
      <c r="E26" s="931"/>
      <c r="F26" s="910">
        <f>Serviços!$AA$76</f>
        <v>17.670000000000002</v>
      </c>
      <c r="G26" s="912"/>
      <c r="H26" s="908">
        <f>Serviços!$AA$77</f>
        <v>20.46</v>
      </c>
      <c r="I26" s="909"/>
      <c r="K26" s="930"/>
      <c r="L26" s="931"/>
      <c r="M26" s="910">
        <f>Serviços!$AA$71</f>
        <v>22.85</v>
      </c>
      <c r="N26" s="912"/>
      <c r="O26" s="911">
        <f>Serviços!$AA$72</f>
        <v>25.77</v>
      </c>
      <c r="P26" s="912"/>
      <c r="S26" s="121"/>
    </row>
    <row r="27" spans="1:23" ht="12.6" customHeight="1" x14ac:dyDescent="0.2">
      <c r="A27" s="120"/>
      <c r="G27" s="76"/>
      <c r="H27" s="76"/>
      <c r="I27" s="76"/>
      <c r="J27" s="76"/>
      <c r="K27" s="76"/>
      <c r="L27" s="76"/>
      <c r="M27" s="76"/>
      <c r="S27" s="121"/>
    </row>
    <row r="28" spans="1:23" ht="12.6" customHeight="1" x14ac:dyDescent="0.2">
      <c r="A28" s="120"/>
      <c r="G28" s="76"/>
      <c r="H28" s="76"/>
      <c r="I28" s="76"/>
      <c r="J28" s="76"/>
      <c r="K28" s="76"/>
      <c r="L28" s="76"/>
      <c r="M28" s="76"/>
      <c r="S28" s="121"/>
    </row>
    <row r="29" spans="1:23" ht="12.6" customHeight="1" x14ac:dyDescent="0.2">
      <c r="A29" s="120"/>
      <c r="C29" s="928" t="str">
        <f>'T1'!$G$31</f>
        <v>Quadro Eléctrico</v>
      </c>
      <c r="D29" s="928"/>
      <c r="E29" s="928"/>
      <c r="F29" s="928"/>
      <c r="G29" s="928"/>
      <c r="H29" s="928"/>
      <c r="I29" s="928"/>
      <c r="J29" s="928"/>
      <c r="M29" s="788" t="s">
        <v>153</v>
      </c>
      <c r="O29" s="114"/>
      <c r="P29" s="114"/>
      <c r="Q29" s="114"/>
      <c r="S29" s="121"/>
      <c r="W29" s="90"/>
    </row>
    <row r="30" spans="1:23" ht="12.6" customHeight="1" x14ac:dyDescent="0.2">
      <c r="A30" s="120"/>
      <c r="C30" s="114"/>
      <c r="D30" s="888" t="str">
        <f>Serviços!$AT$3</f>
        <v>Monofásico 10A (2 KW)</v>
      </c>
      <c r="E30" s="889"/>
      <c r="F30" s="890"/>
      <c r="G30" s="888" t="str">
        <f>Serviços!$AT$4</f>
        <v>Trifásico 16A (10 KW)</v>
      </c>
      <c r="H30" s="889"/>
      <c r="I30" s="890"/>
      <c r="J30" s="888" t="str">
        <f>Serviços!$AT$5</f>
        <v>Trifásico 32A (20 KW)</v>
      </c>
      <c r="K30" s="889"/>
      <c r="L30" s="890"/>
      <c r="M30" s="888" t="str">
        <f>Serviços!$AT$6</f>
        <v>Trifásico 63A (40 KW)</v>
      </c>
      <c r="N30" s="889"/>
      <c r="O30" s="890"/>
      <c r="P30" s="114"/>
      <c r="Q30" s="114"/>
      <c r="S30" s="121"/>
      <c r="W30" s="90"/>
    </row>
    <row r="31" spans="1:23" ht="12.6" customHeight="1" x14ac:dyDescent="0.2">
      <c r="A31" s="120"/>
      <c r="C31" s="114"/>
      <c r="D31" s="906">
        <f>Serviços!$AV$3</f>
        <v>44.85</v>
      </c>
      <c r="E31" s="934"/>
      <c r="F31" s="907"/>
      <c r="G31" s="906">
        <f>Serviços!$AV$4</f>
        <v>69.34</v>
      </c>
      <c r="H31" s="934"/>
      <c r="I31" s="907"/>
      <c r="J31" s="906">
        <f>Serviços!$AV$5</f>
        <v>122.45</v>
      </c>
      <c r="K31" s="934"/>
      <c r="L31" s="907"/>
      <c r="M31" s="906">
        <f>Serviços!$AV$6</f>
        <v>203.91</v>
      </c>
      <c r="N31" s="934"/>
      <c r="O31" s="907"/>
      <c r="P31" s="114"/>
      <c r="Q31" s="114"/>
      <c r="S31" s="121"/>
      <c r="W31" s="90"/>
    </row>
    <row r="32" spans="1:23" ht="12.6" customHeight="1" x14ac:dyDescent="0.2">
      <c r="A32" s="120"/>
      <c r="C32" s="887" t="str">
        <f>'L2'!$A$28</f>
        <v>A instalação de um quadro eléctrico é obrigatória. Se pretender poderá requisitá-lo à FIL. A potência eléctrica a instalar, depende das necessidades dos equipamentos eléctricos que forem colocados no stand. Todos os quadros eléctricos alugados à FIL possuem uma tomada tripla 220V, deverá também pedir a puxada correspondente. 
Nota: Todos os Stands fornecidos pela FIL, incluem quadro eléctrico.</v>
      </c>
      <c r="D32" s="887"/>
      <c r="E32" s="887"/>
      <c r="F32" s="887"/>
      <c r="G32" s="887"/>
      <c r="H32" s="887"/>
      <c r="I32" s="887"/>
      <c r="J32" s="887"/>
      <c r="K32" s="887"/>
      <c r="L32" s="887"/>
      <c r="M32" s="887"/>
      <c r="N32" s="887"/>
      <c r="O32" s="887"/>
      <c r="P32" s="887"/>
      <c r="Q32" s="887"/>
      <c r="S32" s="121"/>
      <c r="W32" s="90"/>
    </row>
    <row r="33" spans="1:23" ht="12.6" customHeight="1" x14ac:dyDescent="0.2">
      <c r="A33" s="120"/>
      <c r="C33" s="887"/>
      <c r="D33" s="887"/>
      <c r="E33" s="887"/>
      <c r="F33" s="887"/>
      <c r="G33" s="887"/>
      <c r="H33" s="887"/>
      <c r="I33" s="887"/>
      <c r="J33" s="887"/>
      <c r="K33" s="887"/>
      <c r="L33" s="887"/>
      <c r="M33" s="887"/>
      <c r="N33" s="887"/>
      <c r="O33" s="887"/>
      <c r="P33" s="887"/>
      <c r="Q33" s="887"/>
      <c r="S33" s="121"/>
      <c r="W33" s="90"/>
    </row>
    <row r="34" spans="1:23" ht="12.6" customHeight="1" x14ac:dyDescent="0.2">
      <c r="A34" s="120"/>
      <c r="C34" s="887"/>
      <c r="D34" s="887"/>
      <c r="E34" s="887"/>
      <c r="F34" s="887"/>
      <c r="G34" s="887"/>
      <c r="H34" s="887"/>
      <c r="I34" s="887"/>
      <c r="J34" s="887"/>
      <c r="K34" s="887"/>
      <c r="L34" s="887"/>
      <c r="M34" s="887"/>
      <c r="N34" s="887"/>
      <c r="O34" s="887"/>
      <c r="P34" s="887"/>
      <c r="Q34" s="887"/>
      <c r="S34" s="121"/>
      <c r="W34" s="90"/>
    </row>
    <row r="35" spans="1:23" ht="12.6" customHeight="1" x14ac:dyDescent="0.2">
      <c r="A35" s="120"/>
      <c r="C35" s="887"/>
      <c r="D35" s="887"/>
      <c r="E35" s="887"/>
      <c r="F35" s="887"/>
      <c r="G35" s="887"/>
      <c r="H35" s="887"/>
      <c r="I35" s="887"/>
      <c r="J35" s="887"/>
      <c r="K35" s="887"/>
      <c r="L35" s="887"/>
      <c r="M35" s="887"/>
      <c r="N35" s="887"/>
      <c r="O35" s="887"/>
      <c r="P35" s="887"/>
      <c r="Q35" s="887"/>
      <c r="S35" s="121"/>
      <c r="W35" s="90"/>
    </row>
    <row r="36" spans="1:23" ht="12.6" customHeight="1" x14ac:dyDescent="0.2">
      <c r="A36" s="120"/>
      <c r="C36" s="114"/>
      <c r="D36" s="114"/>
      <c r="E36" s="114"/>
      <c r="F36" s="114"/>
      <c r="G36" s="114"/>
      <c r="H36" s="114"/>
      <c r="I36" s="114"/>
      <c r="J36" s="114"/>
      <c r="K36" s="114"/>
      <c r="L36" s="114"/>
      <c r="M36" s="114"/>
      <c r="N36" s="114"/>
      <c r="O36" s="114"/>
      <c r="P36" s="114"/>
      <c r="Q36" s="114"/>
      <c r="S36" s="121"/>
      <c r="W36" s="90"/>
    </row>
    <row r="37" spans="1:23" ht="12.6" customHeight="1" x14ac:dyDescent="0.2">
      <c r="A37" s="120"/>
      <c r="C37" s="114"/>
      <c r="D37" s="114"/>
      <c r="E37" s="114"/>
      <c r="F37" s="114"/>
      <c r="G37" s="114"/>
      <c r="H37" s="114"/>
      <c r="I37" s="114"/>
      <c r="J37" s="114"/>
      <c r="K37" s="114"/>
      <c r="L37" s="114"/>
      <c r="M37" s="114"/>
      <c r="N37" s="114"/>
      <c r="O37" s="114"/>
      <c r="P37" s="114"/>
      <c r="Q37" s="114"/>
      <c r="S37" s="121"/>
      <c r="W37" s="90"/>
    </row>
    <row r="38" spans="1:23" ht="12.6" customHeight="1" x14ac:dyDescent="0.2">
      <c r="A38" s="120"/>
      <c r="C38" s="895" t="str">
        <f>'T1'!$I$11</f>
        <v>Puxada Eléctrica    -    Suplementar</v>
      </c>
      <c r="D38" s="895"/>
      <c r="E38" s="896"/>
      <c r="F38" s="896"/>
      <c r="G38" s="896"/>
      <c r="H38" s="896"/>
      <c r="I38" s="896"/>
      <c r="J38" s="896"/>
      <c r="K38" s="64"/>
      <c r="M38" s="788" t="s">
        <v>153</v>
      </c>
      <c r="S38" s="121"/>
    </row>
    <row r="39" spans="1:23" ht="12.6" customHeight="1" x14ac:dyDescent="0.2">
      <c r="A39" s="120"/>
      <c r="E39" s="893" t="s">
        <v>659</v>
      </c>
      <c r="F39" s="894"/>
      <c r="G39" s="893" t="s">
        <v>660</v>
      </c>
      <c r="H39" s="894"/>
      <c r="I39" s="893" t="s">
        <v>661</v>
      </c>
      <c r="J39" s="894"/>
      <c r="K39" s="893" t="str">
        <f>'T1'!$Q$31</f>
        <v>Aérea Monofásica</v>
      </c>
      <c r="L39" s="894"/>
      <c r="S39" s="121"/>
    </row>
    <row r="40" spans="1:23" ht="12.6" customHeight="1" x14ac:dyDescent="0.2">
      <c r="A40" s="120"/>
      <c r="C40" s="391"/>
      <c r="D40" s="392"/>
      <c r="E40" s="906">
        <f>Serviços!$AU$18</f>
        <v>68.11</v>
      </c>
      <c r="F40" s="907"/>
      <c r="G40" s="906">
        <f>Serviços!$AU$19</f>
        <v>98.31</v>
      </c>
      <c r="H40" s="907"/>
      <c r="I40" s="906">
        <f>Serviços!$AU$20</f>
        <v>140.47</v>
      </c>
      <c r="J40" s="907"/>
      <c r="K40" s="906">
        <f>Serviços!$AU$21</f>
        <v>298.87</v>
      </c>
      <c r="L40" s="907"/>
      <c r="P40" s="392"/>
      <c r="Q40" s="392"/>
      <c r="S40" s="121"/>
    </row>
    <row r="41" spans="1:23" ht="12.6" customHeight="1" x14ac:dyDescent="0.2">
      <c r="A41" s="120"/>
      <c r="C41" s="887" t="str">
        <f>'L2'!$A$33</f>
        <v>É o serviço que vai permitir a existência de corrente eléctrica no stand.
É disponibilizado a todos os expositores um cabo/puxada trifásico com potência até 10 KW com uma ligação por tomada trifásica de 32 Amperes tipo CEE 32A /5 pinos fêmea. Se esta energia for suficiente para o seu stand, não é necessário requisitar outra puxada. 
Este serviço é obrigatório e a sua montagem é da exclusiva responsabilidade dos serviços da FIL. 
Requer uma ficha macho do tipo CEE 32A/5 pinos macho. É obrigatória a instalação de quadro eléctrico, não incluído.</v>
      </c>
      <c r="D41" s="887"/>
      <c r="E41" s="887"/>
      <c r="F41" s="887"/>
      <c r="G41" s="887"/>
      <c r="H41" s="887"/>
      <c r="I41" s="887"/>
      <c r="J41" s="887"/>
      <c r="K41" s="887"/>
      <c r="L41" s="887"/>
      <c r="M41" s="887"/>
      <c r="N41" s="887"/>
      <c r="O41" s="887"/>
      <c r="P41" s="887"/>
      <c r="Q41" s="887"/>
      <c r="S41" s="121"/>
    </row>
    <row r="42" spans="1:23" ht="12.6" customHeight="1" x14ac:dyDescent="0.2">
      <c r="A42" s="120"/>
      <c r="C42" s="887"/>
      <c r="D42" s="887"/>
      <c r="E42" s="887"/>
      <c r="F42" s="887"/>
      <c r="G42" s="887"/>
      <c r="H42" s="887"/>
      <c r="I42" s="887"/>
      <c r="J42" s="887"/>
      <c r="K42" s="887"/>
      <c r="L42" s="887"/>
      <c r="M42" s="887"/>
      <c r="N42" s="887"/>
      <c r="O42" s="887"/>
      <c r="P42" s="887"/>
      <c r="Q42" s="887"/>
      <c r="S42" s="121"/>
    </row>
    <row r="43" spans="1:23" ht="12.6" customHeight="1" x14ac:dyDescent="0.2">
      <c r="A43" s="120"/>
      <c r="C43" s="887"/>
      <c r="D43" s="887"/>
      <c r="E43" s="887"/>
      <c r="F43" s="887"/>
      <c r="G43" s="887"/>
      <c r="H43" s="887"/>
      <c r="I43" s="887"/>
      <c r="J43" s="887"/>
      <c r="K43" s="887"/>
      <c r="L43" s="887"/>
      <c r="M43" s="887"/>
      <c r="N43" s="887"/>
      <c r="O43" s="887"/>
      <c r="P43" s="887"/>
      <c r="Q43" s="887"/>
      <c r="S43" s="121"/>
    </row>
    <row r="44" spans="1:23" ht="12.6" customHeight="1" x14ac:dyDescent="0.2">
      <c r="A44" s="120"/>
      <c r="C44" s="887"/>
      <c r="D44" s="887"/>
      <c r="E44" s="887"/>
      <c r="F44" s="887"/>
      <c r="G44" s="887"/>
      <c r="H44" s="887"/>
      <c r="I44" s="887"/>
      <c r="J44" s="887"/>
      <c r="K44" s="887"/>
      <c r="L44" s="887"/>
      <c r="M44" s="887"/>
      <c r="N44" s="887"/>
      <c r="O44" s="887"/>
      <c r="P44" s="887"/>
      <c r="Q44" s="887"/>
      <c r="S44" s="121"/>
    </row>
    <row r="45" spans="1:23" ht="12.6" customHeight="1" x14ac:dyDescent="0.2">
      <c r="A45" s="120"/>
      <c r="C45" s="887"/>
      <c r="D45" s="887"/>
      <c r="E45" s="887"/>
      <c r="F45" s="887"/>
      <c r="G45" s="887"/>
      <c r="H45" s="887"/>
      <c r="I45" s="887"/>
      <c r="J45" s="887"/>
      <c r="K45" s="887"/>
      <c r="L45" s="887"/>
      <c r="M45" s="887"/>
      <c r="N45" s="887"/>
      <c r="O45" s="887"/>
      <c r="P45" s="887"/>
      <c r="Q45" s="887"/>
      <c r="S45" s="121"/>
      <c r="W45" s="90"/>
    </row>
    <row r="46" spans="1:23" ht="12.6" customHeight="1" x14ac:dyDescent="0.2">
      <c r="A46" s="120"/>
      <c r="C46" s="114"/>
      <c r="D46" s="114"/>
      <c r="E46" s="114"/>
      <c r="F46" s="114"/>
      <c r="G46" s="114"/>
      <c r="H46" s="114"/>
      <c r="I46" s="114"/>
      <c r="J46" s="114"/>
      <c r="K46" s="114"/>
      <c r="L46" s="114"/>
      <c r="M46" s="114"/>
      <c r="N46" s="114"/>
      <c r="O46" s="114"/>
      <c r="P46" s="114"/>
      <c r="Q46" s="114"/>
      <c r="S46" s="121"/>
      <c r="W46" s="90"/>
    </row>
    <row r="47" spans="1:23" ht="12.6" customHeight="1" x14ac:dyDescent="0.2">
      <c r="A47" s="120"/>
      <c r="C47" s="114"/>
      <c r="D47" s="114"/>
      <c r="E47" s="114"/>
      <c r="F47" s="114"/>
      <c r="G47" s="114"/>
      <c r="H47" s="114"/>
      <c r="I47" s="114"/>
      <c r="J47" s="114"/>
      <c r="K47" s="114"/>
      <c r="L47" s="114"/>
      <c r="M47" s="114"/>
      <c r="N47" s="114"/>
      <c r="O47" s="114"/>
      <c r="P47" s="114"/>
      <c r="S47" s="121"/>
      <c r="W47" s="90"/>
    </row>
    <row r="48" spans="1:23" ht="12.6" customHeight="1" x14ac:dyDescent="0.2">
      <c r="A48" s="120"/>
      <c r="C48" s="926" t="str">
        <f>'T1'!$S$31</f>
        <v>Consumo de Energia</v>
      </c>
      <c r="D48" s="926"/>
      <c r="E48" s="926"/>
      <c r="F48" s="404" t="str">
        <f>'T1'!$W$42</f>
        <v>(inerente à Puxada Eléctrica suplementar)</v>
      </c>
      <c r="G48" s="404"/>
      <c r="H48" s="404"/>
      <c r="I48" s="404"/>
      <c r="J48" s="404"/>
      <c r="K48" s="114"/>
      <c r="M48" s="960" t="s">
        <v>153</v>
      </c>
      <c r="N48" s="114"/>
      <c r="O48" s="114"/>
      <c r="P48" s="114"/>
      <c r="Q48" s="114"/>
      <c r="S48" s="121"/>
      <c r="W48" s="90"/>
    </row>
    <row r="49" spans="1:23" ht="12.6" customHeight="1" x14ac:dyDescent="0.2">
      <c r="A49" s="120"/>
      <c r="C49" s="887" t="str">
        <f>'L2'!$A$18</f>
        <v>O consumo de energia obrigátorio corresponde a 1KW por cada 9m2. No caso de necessitar de uma puxada de maior potencia do que a que lhe é disponibilizada -10KW-, deverá  requisitar os consumos de energia suplementar correspondentes: 
Exemplo: Se tem 54m2  e necessita de 20 KW de potência. O consumo obrigatório corresponde a 6 KW [1 KW por cada 9m2  (54:9)=6]. Como necessita de 20 KW deverá requisitar 14 KW de consumo suplementar.</v>
      </c>
      <c r="D49" s="887"/>
      <c r="E49" s="887"/>
      <c r="F49" s="887"/>
      <c r="G49" s="887"/>
      <c r="H49" s="887"/>
      <c r="I49" s="887"/>
      <c r="J49" s="887"/>
      <c r="K49" s="887"/>
      <c r="L49" s="887"/>
      <c r="M49" s="887"/>
      <c r="N49" s="887"/>
      <c r="O49" s="887"/>
      <c r="P49" s="887"/>
      <c r="Q49" s="887"/>
      <c r="S49" s="121"/>
      <c r="W49" s="90"/>
    </row>
    <row r="50" spans="1:23" ht="12.6" customHeight="1" x14ac:dyDescent="0.2">
      <c r="A50" s="120"/>
      <c r="C50" s="887"/>
      <c r="D50" s="887"/>
      <c r="E50" s="887"/>
      <c r="F50" s="887"/>
      <c r="G50" s="887"/>
      <c r="H50" s="887"/>
      <c r="I50" s="887"/>
      <c r="J50" s="887"/>
      <c r="K50" s="887"/>
      <c r="L50" s="887"/>
      <c r="M50" s="887"/>
      <c r="N50" s="887"/>
      <c r="O50" s="887"/>
      <c r="P50" s="887"/>
      <c r="Q50" s="887"/>
      <c r="S50" s="121"/>
      <c r="W50" s="90"/>
    </row>
    <row r="51" spans="1:23" ht="12.6" customHeight="1" x14ac:dyDescent="0.2">
      <c r="A51" s="120"/>
      <c r="C51" s="887"/>
      <c r="D51" s="887"/>
      <c r="E51" s="887"/>
      <c r="F51" s="887"/>
      <c r="G51" s="887"/>
      <c r="H51" s="887"/>
      <c r="I51" s="887"/>
      <c r="J51" s="887"/>
      <c r="K51" s="887"/>
      <c r="L51" s="887"/>
      <c r="M51" s="887"/>
      <c r="N51" s="887"/>
      <c r="O51" s="887"/>
      <c r="P51" s="887"/>
      <c r="Q51" s="887"/>
      <c r="S51" s="121"/>
      <c r="W51" s="90"/>
    </row>
    <row r="52" spans="1:23" ht="12.6" customHeight="1" x14ac:dyDescent="0.2">
      <c r="A52" s="120"/>
      <c r="C52" s="887"/>
      <c r="D52" s="887"/>
      <c r="E52" s="887"/>
      <c r="F52" s="887"/>
      <c r="G52" s="887"/>
      <c r="H52" s="887"/>
      <c r="I52" s="887"/>
      <c r="J52" s="887"/>
      <c r="K52" s="887"/>
      <c r="L52" s="887"/>
      <c r="M52" s="887"/>
      <c r="N52" s="887"/>
      <c r="O52" s="887"/>
      <c r="P52" s="887"/>
      <c r="Q52" s="887"/>
      <c r="S52" s="121"/>
      <c r="W52" s="90"/>
    </row>
    <row r="53" spans="1:23" ht="12.6" customHeight="1" x14ac:dyDescent="0.2">
      <c r="A53" s="120"/>
      <c r="C53" s="114"/>
      <c r="D53" s="114"/>
      <c r="E53" s="114"/>
      <c r="F53" s="114"/>
      <c r="G53" s="114"/>
      <c r="H53" s="114"/>
      <c r="I53" s="114"/>
      <c r="J53" s="114"/>
      <c r="K53" s="114"/>
      <c r="L53" s="114"/>
      <c r="M53" s="114"/>
      <c r="N53" s="114"/>
      <c r="O53" s="114"/>
      <c r="P53" s="114"/>
      <c r="Q53" s="114"/>
      <c r="S53" s="121"/>
      <c r="W53" s="90"/>
    </row>
    <row r="54" spans="1:23" ht="12.6" customHeight="1" x14ac:dyDescent="0.2">
      <c r="A54" s="120"/>
      <c r="C54" s="114"/>
      <c r="D54" s="114"/>
      <c r="E54" s="114"/>
      <c r="F54" s="114"/>
      <c r="G54" s="114"/>
      <c r="H54" s="114"/>
      <c r="I54" s="114"/>
      <c r="J54" s="114"/>
      <c r="K54" s="114"/>
      <c r="L54" s="114"/>
      <c r="M54" s="114"/>
      <c r="N54" s="114"/>
      <c r="O54" s="114"/>
      <c r="P54" s="114"/>
      <c r="Q54" s="114"/>
      <c r="S54" s="121"/>
      <c r="W54" s="90"/>
    </row>
    <row r="55" spans="1:23" ht="12.6" customHeight="1" x14ac:dyDescent="0.2">
      <c r="A55" s="120"/>
      <c r="C55" s="896" t="str">
        <f>'T1'!$I$1</f>
        <v xml:space="preserve">Energía   -  Permanente 24 Horas </v>
      </c>
      <c r="D55" s="896"/>
      <c r="E55" s="896"/>
      <c r="F55" s="896"/>
      <c r="G55" s="896"/>
      <c r="H55" s="896"/>
      <c r="I55" s="896"/>
      <c r="J55" s="896"/>
      <c r="K55" s="64"/>
      <c r="M55" s="788" t="s">
        <v>153</v>
      </c>
      <c r="S55" s="121"/>
    </row>
    <row r="56" spans="1:23" ht="12.6" customHeight="1" x14ac:dyDescent="0.2">
      <c r="A56" s="120"/>
      <c r="C56" s="887" t="str">
        <f>'L2'!$A$23</f>
        <v xml:space="preserve">Este tipo de ligação é recomendada quando o Expositor tem equipamentos de frio ou máquinas que necessitem de alimentação permanente.
A electricidade dos stands é ligada 1 hora antes do inicio do evento e desligada até 30 min. depois do seu encerramento. No caso de necessitar que a energia fique interruptamente ligada no seu stand, deverá requisitar ENERGIA PERMANENTE 24 Horas. </v>
      </c>
      <c r="D56" s="887"/>
      <c r="E56" s="887"/>
      <c r="F56" s="887"/>
      <c r="G56" s="887"/>
      <c r="H56" s="887"/>
      <c r="I56" s="887"/>
      <c r="J56" s="887"/>
      <c r="K56" s="887"/>
      <c r="L56" s="887"/>
      <c r="M56" s="887"/>
      <c r="N56" s="887"/>
      <c r="O56" s="887"/>
      <c r="P56" s="887"/>
      <c r="Q56" s="887"/>
      <c r="S56" s="121"/>
    </row>
    <row r="57" spans="1:23" ht="12.6" customHeight="1" x14ac:dyDescent="0.2">
      <c r="A57" s="120"/>
      <c r="C57" s="887"/>
      <c r="D57" s="887"/>
      <c r="E57" s="887"/>
      <c r="F57" s="887"/>
      <c r="G57" s="887"/>
      <c r="H57" s="887"/>
      <c r="I57" s="887"/>
      <c r="J57" s="887"/>
      <c r="K57" s="887"/>
      <c r="L57" s="887"/>
      <c r="M57" s="887"/>
      <c r="N57" s="887"/>
      <c r="O57" s="887"/>
      <c r="P57" s="887"/>
      <c r="Q57" s="887"/>
      <c r="S57" s="121"/>
    </row>
    <row r="58" spans="1:23" ht="12.6" customHeight="1" x14ac:dyDescent="0.2">
      <c r="A58" s="120"/>
      <c r="C58" s="887"/>
      <c r="D58" s="887"/>
      <c r="E58" s="887"/>
      <c r="F58" s="887"/>
      <c r="G58" s="887"/>
      <c r="H58" s="887"/>
      <c r="I58" s="887"/>
      <c r="J58" s="887"/>
      <c r="K58" s="887"/>
      <c r="L58" s="887"/>
      <c r="M58" s="887"/>
      <c r="N58" s="887"/>
      <c r="O58" s="887"/>
      <c r="P58" s="887"/>
      <c r="Q58" s="887"/>
      <c r="S58" s="121"/>
    </row>
    <row r="59" spans="1:23" ht="12.6" customHeight="1" x14ac:dyDescent="0.2">
      <c r="A59" s="120"/>
      <c r="C59" s="114"/>
      <c r="D59" s="114"/>
      <c r="E59" s="114"/>
      <c r="F59" s="114"/>
      <c r="G59" s="114"/>
      <c r="H59" s="114"/>
      <c r="I59" s="114"/>
      <c r="J59" s="114"/>
      <c r="K59" s="114"/>
      <c r="L59" s="114"/>
      <c r="M59" s="114"/>
      <c r="N59" s="114"/>
      <c r="O59" s="114"/>
      <c r="P59" s="114"/>
      <c r="Q59" s="114"/>
      <c r="S59" s="121"/>
    </row>
    <row r="60" spans="1:23" ht="12.6" customHeight="1" thickBot="1" x14ac:dyDescent="0.25">
      <c r="A60" s="203"/>
      <c r="B60" s="204"/>
      <c r="C60" s="282"/>
      <c r="D60" s="282"/>
      <c r="E60" s="282"/>
      <c r="F60" s="282"/>
      <c r="G60" s="282"/>
      <c r="H60" s="282"/>
      <c r="I60" s="282"/>
      <c r="J60" s="282"/>
      <c r="K60" s="282"/>
      <c r="L60" s="282"/>
      <c r="M60" s="282"/>
      <c r="N60" s="282"/>
      <c r="O60" s="282"/>
      <c r="P60" s="282"/>
      <c r="Q60" s="282"/>
      <c r="R60" s="204"/>
      <c r="S60" s="206"/>
    </row>
    <row r="61" spans="1:23" ht="12.6" customHeight="1" x14ac:dyDescent="0.2">
      <c r="A61" s="207"/>
      <c r="B61" s="208"/>
      <c r="C61" s="283"/>
      <c r="D61" s="283"/>
      <c r="E61" s="283"/>
      <c r="F61" s="283"/>
      <c r="G61" s="283"/>
      <c r="H61" s="283"/>
      <c r="I61" s="283"/>
      <c r="J61" s="283"/>
      <c r="K61" s="283"/>
      <c r="L61" s="283"/>
      <c r="M61" s="283"/>
      <c r="N61" s="283"/>
      <c r="O61" s="283"/>
      <c r="P61" s="283"/>
      <c r="Q61" s="283"/>
      <c r="R61" s="208"/>
      <c r="S61" s="210"/>
    </row>
    <row r="62" spans="1:23" ht="12.6" customHeight="1" x14ac:dyDescent="0.2">
      <c r="A62" s="120"/>
      <c r="C62" s="896" t="str">
        <f>'T1'!$Q$1</f>
        <v>Ponto de Água Fria e Esgoto</v>
      </c>
      <c r="D62" s="896"/>
      <c r="E62" s="896"/>
      <c r="F62" s="896"/>
      <c r="G62" s="896"/>
      <c r="H62" s="896"/>
      <c r="I62" s="896"/>
      <c r="J62" s="896"/>
      <c r="K62" s="114"/>
      <c r="M62" s="788" t="s">
        <v>153</v>
      </c>
      <c r="N62" s="114"/>
      <c r="O62" s="114"/>
      <c r="P62" s="114"/>
      <c r="Q62" s="361" t="s">
        <v>667</v>
      </c>
      <c r="S62" s="121"/>
      <c r="W62" s="90"/>
    </row>
    <row r="63" spans="1:23" ht="12.6" customHeight="1" x14ac:dyDescent="0.2">
      <c r="A63" s="120"/>
      <c r="C63" s="905" t="str">
        <f>'L2'!$A$38</f>
        <v>A água fria é fornecida pela instalação de mangueira cristal de 15 mm com torneiras de 3/8 ou ½ polegada e drenagem de líquidos/esgoto 
com tubo 40 mm
Para fornecimento de água quente é instalado um termoacumulador.
Não são permitidas derivações . Deve ser requisitado 1 ponto de água para cada equipamento.</v>
      </c>
      <c r="D63" s="905"/>
      <c r="E63" s="905"/>
      <c r="F63" s="905"/>
      <c r="G63" s="905"/>
      <c r="H63" s="905"/>
      <c r="I63" s="905"/>
      <c r="J63" s="905"/>
      <c r="K63" s="905"/>
      <c r="L63" s="905"/>
      <c r="M63" s="905"/>
      <c r="N63" s="905"/>
      <c r="O63" s="905"/>
      <c r="P63" s="905"/>
      <c r="Q63" s="905"/>
      <c r="S63" s="121"/>
      <c r="W63" s="90"/>
    </row>
    <row r="64" spans="1:23" ht="12.6" customHeight="1" x14ac:dyDescent="0.2">
      <c r="A64" s="120"/>
      <c r="C64" s="905"/>
      <c r="D64" s="905"/>
      <c r="E64" s="905"/>
      <c r="F64" s="905"/>
      <c r="G64" s="905"/>
      <c r="H64" s="905"/>
      <c r="I64" s="905"/>
      <c r="J64" s="905"/>
      <c r="K64" s="905"/>
      <c r="L64" s="905"/>
      <c r="M64" s="905"/>
      <c r="N64" s="905"/>
      <c r="O64" s="905"/>
      <c r="P64" s="905"/>
      <c r="Q64" s="905"/>
      <c r="S64" s="121"/>
      <c r="W64" s="90"/>
    </row>
    <row r="65" spans="1:23" ht="12.6" customHeight="1" x14ac:dyDescent="0.2">
      <c r="A65" s="120"/>
      <c r="C65" s="905"/>
      <c r="D65" s="905"/>
      <c r="E65" s="905"/>
      <c r="F65" s="905"/>
      <c r="G65" s="905"/>
      <c r="H65" s="905"/>
      <c r="I65" s="905"/>
      <c r="J65" s="905"/>
      <c r="K65" s="905"/>
      <c r="L65" s="905"/>
      <c r="M65" s="905"/>
      <c r="N65" s="905"/>
      <c r="O65" s="905"/>
      <c r="P65" s="905"/>
      <c r="Q65" s="905"/>
      <c r="S65" s="121"/>
      <c r="W65" s="90"/>
    </row>
    <row r="66" spans="1:23" ht="12.6" customHeight="1" x14ac:dyDescent="0.2">
      <c r="A66" s="120"/>
      <c r="C66" s="905"/>
      <c r="D66" s="905"/>
      <c r="E66" s="905"/>
      <c r="F66" s="905"/>
      <c r="G66" s="905"/>
      <c r="H66" s="905"/>
      <c r="I66" s="905"/>
      <c r="J66" s="905"/>
      <c r="K66" s="905"/>
      <c r="L66" s="905"/>
      <c r="M66" s="905"/>
      <c r="N66" s="905"/>
      <c r="O66" s="905"/>
      <c r="P66" s="905"/>
      <c r="Q66" s="905"/>
      <c r="S66" s="121"/>
      <c r="W66" s="90"/>
    </row>
    <row r="67" spans="1:23" ht="12.6" customHeight="1" x14ac:dyDescent="0.2">
      <c r="A67" s="120"/>
      <c r="C67" s="114"/>
      <c r="D67" s="114"/>
      <c r="E67" s="114"/>
      <c r="F67" s="114"/>
      <c r="G67" s="114"/>
      <c r="H67" s="114"/>
      <c r="I67" s="114"/>
      <c r="J67" s="114"/>
      <c r="K67" s="114"/>
      <c r="L67" s="114"/>
      <c r="M67" s="114"/>
      <c r="N67" s="114"/>
      <c r="O67" s="114"/>
      <c r="P67" s="114"/>
      <c r="Q67" s="114"/>
      <c r="S67" s="121"/>
      <c r="W67" s="90"/>
    </row>
    <row r="68" spans="1:23" ht="12.6" customHeight="1" x14ac:dyDescent="0.2">
      <c r="A68" s="120"/>
      <c r="C68" s="114"/>
      <c r="D68" s="114"/>
      <c r="E68" s="114"/>
      <c r="F68" s="114"/>
      <c r="G68" s="114"/>
      <c r="H68" s="114"/>
      <c r="I68" s="114"/>
      <c r="J68" s="114"/>
      <c r="K68" s="114"/>
      <c r="L68" s="114"/>
      <c r="M68" s="114"/>
      <c r="N68" s="114"/>
      <c r="O68" s="114"/>
      <c r="P68" s="114"/>
      <c r="Q68" s="114"/>
      <c r="S68" s="121"/>
      <c r="W68" s="90"/>
    </row>
    <row r="69" spans="1:23" ht="12.6" customHeight="1" x14ac:dyDescent="0.2">
      <c r="A69" s="120"/>
      <c r="C69" s="896" t="s">
        <v>461</v>
      </c>
      <c r="D69" s="896"/>
      <c r="E69" s="896"/>
      <c r="F69" s="896"/>
      <c r="G69" s="896"/>
      <c r="H69" s="896"/>
      <c r="I69" s="896"/>
      <c r="J69" s="896"/>
      <c r="K69" s="64"/>
      <c r="M69" s="788" t="s">
        <v>153</v>
      </c>
      <c r="S69" s="121"/>
      <c r="W69" s="90"/>
    </row>
    <row r="70" spans="1:23" ht="12.6" customHeight="1" x14ac:dyDescent="0.2">
      <c r="A70" s="120"/>
      <c r="B70" s="91"/>
      <c r="C70" s="887" t="str">
        <f>'L2'!$A$43</f>
        <v>NÃO É PERMITIDO aos clientes ligar os seus próprios equipamentos de distribuição de rede, por exemplo, routers, switches, hubs, Access points/antenas, etc., bem como a utilização de sistemas que recorram à tecnologia Wi-Fi por ex. sistemas robotizados, excepto se previamente justificado por escrito, e aprovado pela Feira Internacional de Lisboa (FIL).  
Qualquer situação detectada que vá contra estas determinações, serão tomadas medidas em conformidade e aos responsáveis serão imputados os custos por possíveis danos e perdas da FIL ou de terceiros.</v>
      </c>
      <c r="D70" s="887"/>
      <c r="E70" s="887"/>
      <c r="F70" s="887"/>
      <c r="G70" s="887"/>
      <c r="H70" s="887"/>
      <c r="I70" s="887"/>
      <c r="J70" s="887"/>
      <c r="K70" s="887"/>
      <c r="L70" s="887"/>
      <c r="M70" s="887"/>
      <c r="N70" s="887"/>
      <c r="O70" s="887"/>
      <c r="P70" s="887"/>
      <c r="Q70" s="887"/>
      <c r="S70" s="121"/>
      <c r="W70" s="90"/>
    </row>
    <row r="71" spans="1:23" ht="12.6" customHeight="1" x14ac:dyDescent="0.2">
      <c r="A71" s="120"/>
      <c r="B71" s="76"/>
      <c r="C71" s="887"/>
      <c r="D71" s="887"/>
      <c r="E71" s="887"/>
      <c r="F71" s="887"/>
      <c r="G71" s="887"/>
      <c r="H71" s="887"/>
      <c r="I71" s="887"/>
      <c r="J71" s="887"/>
      <c r="K71" s="887"/>
      <c r="L71" s="887"/>
      <c r="M71" s="887"/>
      <c r="N71" s="887"/>
      <c r="O71" s="887"/>
      <c r="P71" s="887"/>
      <c r="Q71" s="887"/>
      <c r="S71" s="121"/>
      <c r="W71" s="90"/>
    </row>
    <row r="72" spans="1:23" ht="12.6" customHeight="1" x14ac:dyDescent="0.2">
      <c r="A72" s="120"/>
      <c r="B72" s="76"/>
      <c r="C72" s="887"/>
      <c r="D72" s="887"/>
      <c r="E72" s="887"/>
      <c r="F72" s="887"/>
      <c r="G72" s="887"/>
      <c r="H72" s="887"/>
      <c r="I72" s="887"/>
      <c r="J72" s="887"/>
      <c r="K72" s="887"/>
      <c r="L72" s="887"/>
      <c r="M72" s="887"/>
      <c r="N72" s="887"/>
      <c r="O72" s="887"/>
      <c r="P72" s="887"/>
      <c r="Q72" s="887"/>
      <c r="S72" s="121"/>
      <c r="W72" s="90"/>
    </row>
    <row r="73" spans="1:23" ht="12.6" customHeight="1" x14ac:dyDescent="0.2">
      <c r="A73" s="120"/>
      <c r="C73" s="887"/>
      <c r="D73" s="887"/>
      <c r="E73" s="887"/>
      <c r="F73" s="887"/>
      <c r="G73" s="887"/>
      <c r="H73" s="887"/>
      <c r="I73" s="887"/>
      <c r="J73" s="887"/>
      <c r="K73" s="887"/>
      <c r="L73" s="887"/>
      <c r="M73" s="887"/>
      <c r="N73" s="887"/>
      <c r="O73" s="887"/>
      <c r="P73" s="887"/>
      <c r="Q73" s="887"/>
      <c r="S73" s="121"/>
      <c r="W73" s="90"/>
    </row>
    <row r="74" spans="1:23" ht="12.6" customHeight="1" x14ac:dyDescent="0.2">
      <c r="A74" s="120"/>
      <c r="C74" s="887"/>
      <c r="D74" s="887"/>
      <c r="E74" s="887"/>
      <c r="F74" s="887"/>
      <c r="G74" s="887"/>
      <c r="H74" s="887"/>
      <c r="I74" s="887"/>
      <c r="J74" s="887"/>
      <c r="K74" s="887"/>
      <c r="L74" s="887"/>
      <c r="M74" s="887"/>
      <c r="N74" s="887"/>
      <c r="O74" s="887"/>
      <c r="P74" s="887"/>
      <c r="Q74" s="887"/>
      <c r="S74" s="121"/>
      <c r="W74" s="90"/>
    </row>
    <row r="75" spans="1:23" ht="12.6" customHeight="1" x14ac:dyDescent="0.2">
      <c r="A75" s="120"/>
      <c r="C75" s="90" t="str">
        <f>'T1'!$S$1</f>
        <v>Cabo de Rede com Internet para 1 PC</v>
      </c>
      <c r="D75" s="91"/>
      <c r="E75" s="91"/>
      <c r="F75" s="91"/>
      <c r="G75" s="91"/>
      <c r="H75" s="91"/>
      <c r="I75" s="91"/>
      <c r="J75" s="91"/>
      <c r="K75" s="114"/>
      <c r="L75" s="114"/>
      <c r="M75" s="114"/>
      <c r="N75" s="114"/>
      <c r="O75" s="114"/>
      <c r="P75" s="114"/>
      <c r="Q75" s="114"/>
      <c r="S75" s="121"/>
    </row>
    <row r="76" spans="1:23" ht="12.6" customHeight="1" x14ac:dyDescent="0.2">
      <c r="A76" s="120"/>
      <c r="C76" s="905" t="str">
        <f>'L2'!$A$48</f>
        <v>1 Ponto de Rede com INTERNET para 1 PC: Este tipo de ligação, é na maioria dos casos a mais adequada às necessidades de acesso à Internet (navegar na Internet e enviar/receber e-mails). 
Especificações técnicas: Rede com Acesso Internet, com DHCP fornecendo IP Privado com DNS, Largura de banda partilhada até 1 Mbps com uma taxa de contenção de 1:10, sem limite de tráfego. Terminações RJ45.  A largura de banda adicional é recomendada se o expositor necessitar de velocidade no acesso (transmissões vídeo, webcast, VPN, etc). Neste caso a Largura de Banda solicitada é integral, isto é, com uma taxa de contenção de 1:1. 
Largura de banda superiores a 100Mbps,  necessitam  ser requisitada pelo menos com 1 mês de antecedência.</v>
      </c>
      <c r="D76" s="905"/>
      <c r="E76" s="905"/>
      <c r="F76" s="905"/>
      <c r="G76" s="905"/>
      <c r="H76" s="905"/>
      <c r="I76" s="905"/>
      <c r="J76" s="905"/>
      <c r="K76" s="905"/>
      <c r="L76" s="905"/>
      <c r="M76" s="905"/>
      <c r="N76" s="905"/>
      <c r="O76" s="905"/>
      <c r="P76" s="905"/>
      <c r="Q76" s="905"/>
      <c r="S76" s="121"/>
    </row>
    <row r="77" spans="1:23" ht="12.6" customHeight="1" x14ac:dyDescent="0.2">
      <c r="A77" s="120"/>
      <c r="C77" s="905"/>
      <c r="D77" s="905"/>
      <c r="E77" s="905"/>
      <c r="F77" s="905"/>
      <c r="G77" s="905"/>
      <c r="H77" s="905"/>
      <c r="I77" s="905"/>
      <c r="J77" s="905"/>
      <c r="K77" s="905"/>
      <c r="L77" s="905"/>
      <c r="M77" s="905"/>
      <c r="N77" s="905"/>
      <c r="O77" s="905"/>
      <c r="P77" s="905"/>
      <c r="Q77" s="905"/>
      <c r="S77" s="121"/>
    </row>
    <row r="78" spans="1:23" ht="12.6" customHeight="1" x14ac:dyDescent="0.2">
      <c r="A78" s="120"/>
      <c r="C78" s="905"/>
      <c r="D78" s="905"/>
      <c r="E78" s="905"/>
      <c r="F78" s="905"/>
      <c r="G78" s="905"/>
      <c r="H78" s="905"/>
      <c r="I78" s="905"/>
      <c r="J78" s="905"/>
      <c r="K78" s="905"/>
      <c r="L78" s="905"/>
      <c r="M78" s="905"/>
      <c r="N78" s="905"/>
      <c r="O78" s="905"/>
      <c r="P78" s="905"/>
      <c r="Q78" s="905"/>
      <c r="S78" s="121"/>
    </row>
    <row r="79" spans="1:23" ht="12.6" customHeight="1" x14ac:dyDescent="0.2">
      <c r="A79" s="120"/>
      <c r="C79" s="905"/>
      <c r="D79" s="905"/>
      <c r="E79" s="905"/>
      <c r="F79" s="905"/>
      <c r="G79" s="905"/>
      <c r="H79" s="905"/>
      <c r="I79" s="905"/>
      <c r="J79" s="905"/>
      <c r="K79" s="905"/>
      <c r="L79" s="905"/>
      <c r="M79" s="905"/>
      <c r="N79" s="905"/>
      <c r="O79" s="905"/>
      <c r="P79" s="905"/>
      <c r="Q79" s="905"/>
      <c r="S79" s="121"/>
    </row>
    <row r="80" spans="1:23" ht="12.6" customHeight="1" x14ac:dyDescent="0.2">
      <c r="A80" s="120"/>
      <c r="C80" s="905"/>
      <c r="D80" s="905"/>
      <c r="E80" s="905"/>
      <c r="F80" s="905"/>
      <c r="G80" s="905"/>
      <c r="H80" s="905"/>
      <c r="I80" s="905"/>
      <c r="J80" s="905"/>
      <c r="K80" s="905"/>
      <c r="L80" s="905"/>
      <c r="M80" s="905"/>
      <c r="N80" s="905"/>
      <c r="O80" s="905"/>
      <c r="P80" s="905"/>
      <c r="Q80" s="905"/>
      <c r="S80" s="121"/>
    </row>
    <row r="81" spans="1:23" ht="12.6" customHeight="1" x14ac:dyDescent="0.2">
      <c r="A81" s="120"/>
      <c r="C81" s="905"/>
      <c r="D81" s="905"/>
      <c r="E81" s="905"/>
      <c r="F81" s="905"/>
      <c r="G81" s="905"/>
      <c r="H81" s="905"/>
      <c r="I81" s="905"/>
      <c r="J81" s="905"/>
      <c r="K81" s="905"/>
      <c r="L81" s="905"/>
      <c r="M81" s="905"/>
      <c r="N81" s="905"/>
      <c r="O81" s="905"/>
      <c r="P81" s="905"/>
      <c r="Q81" s="905"/>
      <c r="S81" s="121"/>
    </row>
    <row r="82" spans="1:23" ht="12.6" customHeight="1" x14ac:dyDescent="0.2">
      <c r="A82" s="120"/>
      <c r="C82" s="134" t="str">
        <f>'T1'!$W$37</f>
        <v>Largura de Banda Extra para Internet</v>
      </c>
      <c r="D82" s="134"/>
      <c r="E82" s="134"/>
      <c r="F82" s="134"/>
      <c r="G82" s="342" t="str">
        <f>'L1'!$E$11</f>
        <v>(adicional ao cabo de rede)</v>
      </c>
      <c r="I82" s="275"/>
      <c r="S82" s="121"/>
    </row>
    <row r="83" spans="1:23" ht="12.6" customHeight="1" x14ac:dyDescent="0.2">
      <c r="A83" s="120"/>
      <c r="E83" s="897" t="s">
        <v>586</v>
      </c>
      <c r="F83" s="898"/>
      <c r="G83" s="897" t="s">
        <v>587</v>
      </c>
      <c r="H83" s="898"/>
      <c r="I83" s="897" t="s">
        <v>588</v>
      </c>
      <c r="J83" s="898"/>
      <c r="K83" s="897" t="s">
        <v>589</v>
      </c>
      <c r="L83" s="898"/>
      <c r="M83" s="897" t="s">
        <v>599</v>
      </c>
      <c r="N83" s="898"/>
      <c r="S83" s="121"/>
    </row>
    <row r="84" spans="1:23" ht="12.6" customHeight="1" x14ac:dyDescent="0.2">
      <c r="A84" s="120"/>
      <c r="E84" s="903">
        <f>Serviços!AJ$2</f>
        <v>192.51</v>
      </c>
      <c r="F84" s="904"/>
      <c r="G84" s="903">
        <f>Serviços!AK$2</f>
        <v>278.42</v>
      </c>
      <c r="H84" s="904"/>
      <c r="I84" s="903">
        <f>Serviços!AL$2</f>
        <v>450.23</v>
      </c>
      <c r="J84" s="904"/>
      <c r="K84" s="903">
        <f>Serviços!AM$2</f>
        <v>965.66</v>
      </c>
      <c r="L84" s="904"/>
      <c r="M84" s="903">
        <f>Serviços!AN$2</f>
        <v>1824.71</v>
      </c>
      <c r="N84" s="904"/>
      <c r="S84" s="121"/>
    </row>
    <row r="85" spans="1:23" ht="12.6" customHeight="1" x14ac:dyDescent="0.2">
      <c r="A85" s="120"/>
      <c r="G85" s="352"/>
      <c r="K85" s="352"/>
      <c r="M85" s="352"/>
      <c r="O85" s="353"/>
      <c r="S85" s="121"/>
    </row>
    <row r="86" spans="1:23" ht="12.6" customHeight="1" x14ac:dyDescent="0.2">
      <c r="A86" s="120"/>
      <c r="C86" s="91" t="str">
        <f>'L1'!$C$21</f>
        <v>Rede Wi-Fi 2.4GHz</v>
      </c>
      <c r="D86" s="91"/>
      <c r="E86" s="91"/>
      <c r="F86" s="64"/>
      <c r="G86" s="91"/>
      <c r="H86" s="76"/>
      <c r="I86" s="76"/>
      <c r="J86" s="76"/>
      <c r="K86" s="64"/>
      <c r="L86" s="137"/>
      <c r="S86" s="121"/>
      <c r="W86" s="90"/>
    </row>
    <row r="87" spans="1:23" ht="12.6" customHeight="1" x14ac:dyDescent="0.2">
      <c r="A87" s="120"/>
      <c r="C87" s="887" t="str">
        <f>'L2'!$A$53</f>
        <v>Acesso gratuíto a rede Wi-Fi existente nos Pavilhões da FIL, na frequência 2.4GHz, sem limite de utilizadores. A FIL não garante a velocidade de navegação nesta rede, que estará condicionada pelo número de utilizadores e pelo ruído existente no recinto.</v>
      </c>
      <c r="D87" s="887"/>
      <c r="E87" s="887"/>
      <c r="F87" s="887"/>
      <c r="G87" s="887"/>
      <c r="H87" s="887"/>
      <c r="I87" s="887"/>
      <c r="J87" s="887"/>
      <c r="K87" s="887"/>
      <c r="L87" s="887"/>
      <c r="M87" s="887"/>
      <c r="N87" s="887"/>
      <c r="O87" s="887"/>
      <c r="P87" s="887"/>
      <c r="Q87" s="887"/>
      <c r="S87" s="121"/>
      <c r="W87" s="90"/>
    </row>
    <row r="88" spans="1:23" ht="12.6" customHeight="1" x14ac:dyDescent="0.2">
      <c r="A88" s="120"/>
      <c r="C88" s="887"/>
      <c r="D88" s="887"/>
      <c r="E88" s="887"/>
      <c r="F88" s="887"/>
      <c r="G88" s="887"/>
      <c r="H88" s="887"/>
      <c r="I88" s="887"/>
      <c r="J88" s="887"/>
      <c r="K88" s="887"/>
      <c r="L88" s="887"/>
      <c r="M88" s="887"/>
      <c r="N88" s="887"/>
      <c r="O88" s="887"/>
      <c r="P88" s="887"/>
      <c r="Q88" s="887"/>
      <c r="S88" s="121"/>
      <c r="W88" s="90"/>
    </row>
    <row r="89" spans="1:23" ht="12.6" customHeight="1" x14ac:dyDescent="0.2">
      <c r="A89" s="120"/>
      <c r="C89" s="134" t="str">
        <f>'L1'!$C$11</f>
        <v>Rede Wi-Fi Premium  5GHz</v>
      </c>
      <c r="D89" s="76"/>
      <c r="E89" s="76"/>
      <c r="F89" s="76"/>
      <c r="G89" s="76"/>
      <c r="H89" s="76"/>
      <c r="I89" s="76"/>
      <c r="J89" s="76"/>
      <c r="K89" s="64"/>
      <c r="L89" s="137"/>
      <c r="S89" s="121"/>
      <c r="W89" s="90"/>
    </row>
    <row r="90" spans="1:23" ht="12.6" customHeight="1" x14ac:dyDescent="0.2">
      <c r="A90" s="120"/>
      <c r="C90" s="905" t="str">
        <f>'L2'!$A$58</f>
        <v>Para utilização da rede Premium é necessário que os utilizadores tenham dispositivos que lhes permitam aceder ao wi-fi na frequência 5GHz. A rede Premium estará disponível em todos os pavilhões do evento e permite aos utilizadores navegarem de forma mais rápida e com menos interferências. A rede wi-fi está dimensionada para um uso não intensivo. Para uma utilização profissional ou de demonstrações recomendamos a utilização de internet cablada/ponto de rede com acesso à internet.</v>
      </c>
      <c r="D90" s="905"/>
      <c r="E90" s="905"/>
      <c r="F90" s="905"/>
      <c r="G90" s="905"/>
      <c r="H90" s="905"/>
      <c r="I90" s="905"/>
      <c r="J90" s="905"/>
      <c r="K90" s="905"/>
      <c r="L90" s="905"/>
      <c r="M90" s="905"/>
      <c r="N90" s="905"/>
      <c r="O90" s="905"/>
      <c r="P90" s="905"/>
      <c r="Q90" s="905"/>
      <c r="S90" s="121"/>
      <c r="W90" s="90"/>
    </row>
    <row r="91" spans="1:23" ht="12.6" customHeight="1" x14ac:dyDescent="0.2">
      <c r="A91" s="120"/>
      <c r="C91" s="905"/>
      <c r="D91" s="905"/>
      <c r="E91" s="905"/>
      <c r="F91" s="905"/>
      <c r="G91" s="905"/>
      <c r="H91" s="905"/>
      <c r="I91" s="905"/>
      <c r="J91" s="905"/>
      <c r="K91" s="905"/>
      <c r="L91" s="905"/>
      <c r="M91" s="905"/>
      <c r="N91" s="905"/>
      <c r="O91" s="905"/>
      <c r="P91" s="905"/>
      <c r="Q91" s="905"/>
      <c r="S91" s="121"/>
      <c r="W91" s="90"/>
    </row>
    <row r="92" spans="1:23" ht="12.6" customHeight="1" x14ac:dyDescent="0.2">
      <c r="A92" s="120"/>
      <c r="C92" s="905"/>
      <c r="D92" s="905"/>
      <c r="E92" s="905"/>
      <c r="F92" s="905"/>
      <c r="G92" s="905"/>
      <c r="H92" s="905"/>
      <c r="I92" s="905"/>
      <c r="J92" s="905"/>
      <c r="K92" s="905"/>
      <c r="L92" s="905"/>
      <c r="M92" s="905"/>
      <c r="N92" s="905"/>
      <c r="O92" s="905"/>
      <c r="P92" s="905"/>
      <c r="Q92" s="905"/>
      <c r="S92" s="121"/>
      <c r="W92" s="90"/>
    </row>
    <row r="93" spans="1:23" ht="12.6" customHeight="1" x14ac:dyDescent="0.2">
      <c r="A93" s="120"/>
      <c r="C93" s="905"/>
      <c r="D93" s="905"/>
      <c r="E93" s="905"/>
      <c r="F93" s="905"/>
      <c r="G93" s="905"/>
      <c r="H93" s="905"/>
      <c r="I93" s="905"/>
      <c r="J93" s="905"/>
      <c r="K93" s="905"/>
      <c r="L93" s="905"/>
      <c r="M93" s="905"/>
      <c r="N93" s="905"/>
      <c r="O93" s="905"/>
      <c r="P93" s="905"/>
      <c r="Q93" s="905"/>
      <c r="S93" s="121"/>
      <c r="W93" s="90"/>
    </row>
    <row r="94" spans="1:23" ht="12.6" customHeight="1" x14ac:dyDescent="0.2">
      <c r="A94" s="120"/>
      <c r="C94" s="134" t="str">
        <f>'L1'!$C$16</f>
        <v>Rede Wi-Fi Dedicada ao Stand</v>
      </c>
      <c r="D94" s="114"/>
      <c r="E94" s="114"/>
      <c r="F94" s="114"/>
      <c r="G94" s="114"/>
      <c r="H94" s="114"/>
      <c r="I94" s="114"/>
      <c r="J94" s="114"/>
      <c r="K94" s="114"/>
      <c r="L94" s="114"/>
      <c r="M94" s="114"/>
      <c r="N94" s="114"/>
      <c r="O94" s="114"/>
      <c r="P94" s="114"/>
      <c r="Q94" s="114"/>
      <c r="S94" s="121"/>
    </row>
    <row r="95" spans="1:23" ht="12.6" customHeight="1" x14ac:dyDescent="0.2">
      <c r="A95" s="120"/>
      <c r="C95" s="905" t="str">
        <f>'L2'!$A$63</f>
        <v xml:space="preserve">Disponibilização de uma rede wi-fi dedicada ao seu stand. Esta rede ficará disponível para utilização apenas na área do stand e poderá ter nome da rede/SSID e chave/password personalizável
A largura de banda base será de 10Mbps, podendo ser alterada mediante compra de mais largura de banda. </v>
      </c>
      <c r="D95" s="905"/>
      <c r="E95" s="905"/>
      <c r="F95" s="905"/>
      <c r="G95" s="905"/>
      <c r="H95" s="905"/>
      <c r="I95" s="905"/>
      <c r="J95" s="905"/>
      <c r="K95" s="905"/>
      <c r="L95" s="905"/>
      <c r="M95" s="905"/>
      <c r="N95" s="905"/>
      <c r="O95" s="905"/>
      <c r="P95" s="905"/>
      <c r="Q95" s="905"/>
      <c r="S95" s="121"/>
    </row>
    <row r="96" spans="1:23" ht="12.6" customHeight="1" x14ac:dyDescent="0.2">
      <c r="A96" s="120"/>
      <c r="C96" s="905"/>
      <c r="D96" s="905"/>
      <c r="E96" s="905"/>
      <c r="F96" s="905"/>
      <c r="G96" s="905"/>
      <c r="H96" s="905"/>
      <c r="I96" s="905"/>
      <c r="J96" s="905"/>
      <c r="K96" s="905"/>
      <c r="L96" s="905"/>
      <c r="M96" s="905"/>
      <c r="N96" s="905"/>
      <c r="O96" s="905"/>
      <c r="P96" s="905"/>
      <c r="Q96" s="905"/>
      <c r="S96" s="121"/>
    </row>
    <row r="97" spans="1:19" ht="12.6" customHeight="1" x14ac:dyDescent="0.2">
      <c r="A97" s="120"/>
      <c r="C97" s="905"/>
      <c r="D97" s="905"/>
      <c r="E97" s="905"/>
      <c r="F97" s="905"/>
      <c r="G97" s="905"/>
      <c r="H97" s="905"/>
      <c r="I97" s="905"/>
      <c r="J97" s="905"/>
      <c r="K97" s="905"/>
      <c r="L97" s="905"/>
      <c r="M97" s="905"/>
      <c r="N97" s="905"/>
      <c r="O97" s="905"/>
      <c r="P97" s="905"/>
      <c r="Q97" s="905"/>
      <c r="S97" s="121"/>
    </row>
    <row r="98" spans="1:19" ht="12.6" customHeight="1" x14ac:dyDescent="0.2">
      <c r="A98" s="120"/>
      <c r="C98" s="64"/>
      <c r="D98" s="64"/>
      <c r="E98" s="64"/>
      <c r="F98" s="64"/>
      <c r="G98" s="64"/>
      <c r="H98" s="64"/>
      <c r="I98" s="64"/>
      <c r="J98" s="64"/>
      <c r="K98" s="64"/>
      <c r="L98" s="64"/>
      <c r="M98" s="64"/>
      <c r="N98" s="64"/>
      <c r="O98" s="64"/>
      <c r="P98" s="64"/>
      <c r="Q98" s="64"/>
      <c r="S98" s="121"/>
    </row>
    <row r="99" spans="1:19" ht="12.6" customHeight="1" x14ac:dyDescent="0.2">
      <c r="A99" s="120"/>
      <c r="C99" s="64"/>
      <c r="D99" s="64"/>
      <c r="E99" s="64"/>
      <c r="F99" s="64"/>
      <c r="G99" s="64"/>
      <c r="H99" s="64"/>
      <c r="I99" s="64"/>
      <c r="J99" s="64"/>
      <c r="K99" s="64"/>
      <c r="L99" s="64"/>
      <c r="M99" s="64"/>
      <c r="N99" s="64"/>
      <c r="O99" s="64"/>
      <c r="P99" s="64"/>
      <c r="S99" s="121"/>
    </row>
    <row r="100" spans="1:19" ht="12.6" customHeight="1" x14ac:dyDescent="0.2">
      <c r="A100" s="120"/>
      <c r="C100" s="896" t="s">
        <v>1035</v>
      </c>
      <c r="D100" s="896"/>
      <c r="E100" s="896"/>
      <c r="F100" s="896"/>
      <c r="G100" s="896"/>
      <c r="H100" s="896"/>
      <c r="I100" s="896"/>
      <c r="J100" s="896"/>
      <c r="K100" s="64"/>
      <c r="M100" s="788" t="s">
        <v>153</v>
      </c>
      <c r="N100" s="64"/>
      <c r="O100" s="64"/>
      <c r="P100" s="64"/>
      <c r="Q100" s="361"/>
      <c r="S100" s="121"/>
    </row>
    <row r="101" spans="1:19" ht="12.6" customHeight="1" x14ac:dyDescent="0.2">
      <c r="A101" s="120"/>
      <c r="C101" s="64"/>
      <c r="D101" s="64"/>
      <c r="E101" s="897" t="s">
        <v>593</v>
      </c>
      <c r="F101" s="898"/>
      <c r="G101" s="897" t="s">
        <v>728</v>
      </c>
      <c r="H101" s="898"/>
      <c r="I101" s="897" t="s">
        <v>729</v>
      </c>
      <c r="J101" s="898"/>
      <c r="M101" s="64"/>
      <c r="N101" s="64"/>
      <c r="O101" s="64"/>
      <c r="P101" s="64"/>
      <c r="Q101" s="64"/>
      <c r="S101" s="121"/>
    </row>
    <row r="102" spans="1:19" ht="12.6" customHeight="1" x14ac:dyDescent="0.2">
      <c r="A102" s="120"/>
      <c r="C102" s="64"/>
      <c r="D102" s="64"/>
      <c r="E102" s="903">
        <f>Serviços!$AA$94</f>
        <v>150</v>
      </c>
      <c r="F102" s="904"/>
      <c r="G102" s="903">
        <f>Serviços!$AA$95</f>
        <v>255</v>
      </c>
      <c r="H102" s="904"/>
      <c r="I102" s="903">
        <f>Serviços!$AA$96</f>
        <v>480</v>
      </c>
      <c r="J102" s="904"/>
      <c r="M102" s="64"/>
      <c r="N102" s="64"/>
      <c r="O102" s="64"/>
      <c r="P102" s="64"/>
      <c r="Q102" s="64"/>
      <c r="S102" s="121"/>
    </row>
    <row r="103" spans="1:19" ht="12.6" customHeight="1" x14ac:dyDescent="0.2">
      <c r="A103" s="120"/>
      <c r="C103" s="64"/>
      <c r="D103" s="64"/>
      <c r="E103" s="64"/>
      <c r="F103" s="64"/>
      <c r="G103" s="64"/>
      <c r="H103" s="64"/>
      <c r="I103" s="64"/>
      <c r="J103" s="64"/>
      <c r="K103" s="64"/>
      <c r="L103" s="64"/>
      <c r="M103" s="64"/>
      <c r="N103" s="64"/>
      <c r="O103" s="64"/>
      <c r="P103" s="64"/>
      <c r="Q103" s="64"/>
      <c r="S103" s="121"/>
    </row>
    <row r="104" spans="1:19" ht="12.6" customHeight="1" x14ac:dyDescent="0.2">
      <c r="A104" s="120"/>
      <c r="C104" s="64"/>
      <c r="D104" s="64"/>
      <c r="E104" s="64"/>
      <c r="F104" s="64"/>
      <c r="G104" s="64"/>
      <c r="H104" s="64"/>
      <c r="I104" s="64"/>
      <c r="J104" s="64"/>
      <c r="K104" s="64"/>
      <c r="L104" s="64"/>
      <c r="M104" s="64"/>
      <c r="N104" s="64"/>
      <c r="O104" s="64"/>
      <c r="P104" s="64"/>
      <c r="Q104" s="64"/>
      <c r="S104" s="121"/>
    </row>
    <row r="105" spans="1:19" ht="12.6" customHeight="1" x14ac:dyDescent="0.2">
      <c r="A105" s="120"/>
      <c r="C105" s="896" t="str">
        <f>'T1'!$G$6</f>
        <v>HOSPEDEIRAS</v>
      </c>
      <c r="D105" s="896"/>
      <c r="E105" s="896"/>
      <c r="F105" s="896"/>
      <c r="G105" s="896"/>
      <c r="H105" s="896"/>
      <c r="I105" s="896"/>
      <c r="J105" s="896"/>
      <c r="K105" s="64"/>
      <c r="M105" s="788" t="s">
        <v>153</v>
      </c>
      <c r="N105" s="64"/>
      <c r="O105" s="64"/>
      <c r="P105" s="64"/>
      <c r="Q105" s="64"/>
      <c r="S105" s="121"/>
    </row>
    <row r="106" spans="1:19" ht="12.6" customHeight="1" x14ac:dyDescent="0.2">
      <c r="A106" s="120"/>
      <c r="C106" s="887" t="str">
        <f>'L2'!$A$68</f>
        <v xml:space="preserve">Tem por função: Distribuição de material promocional no espaço do stand; Apoio protocolar; Demonstração dos produtos e serviços; Atendimento dos clientes. </v>
      </c>
      <c r="D106" s="887"/>
      <c r="E106" s="887"/>
      <c r="F106" s="887"/>
      <c r="G106" s="887"/>
      <c r="H106" s="887"/>
      <c r="I106" s="887"/>
      <c r="J106" s="887"/>
      <c r="K106" s="887"/>
      <c r="L106" s="887"/>
      <c r="M106" s="887"/>
      <c r="N106" s="887"/>
      <c r="O106" s="887"/>
      <c r="P106" s="887"/>
      <c r="Q106" s="887"/>
      <c r="S106" s="121"/>
    </row>
    <row r="107" spans="1:19" ht="12.6" customHeight="1" x14ac:dyDescent="0.2">
      <c r="A107" s="120"/>
      <c r="C107" s="887"/>
      <c r="D107" s="887"/>
      <c r="E107" s="887"/>
      <c r="F107" s="887"/>
      <c r="G107" s="887"/>
      <c r="H107" s="887"/>
      <c r="I107" s="887"/>
      <c r="J107" s="887"/>
      <c r="K107" s="887"/>
      <c r="L107" s="887"/>
      <c r="M107" s="887"/>
      <c r="N107" s="887"/>
      <c r="O107" s="887"/>
      <c r="P107" s="887"/>
      <c r="Q107" s="887"/>
      <c r="S107" s="121"/>
    </row>
    <row r="108" spans="1:19" ht="12.6" customHeight="1" x14ac:dyDescent="0.2">
      <c r="A108" s="120"/>
      <c r="C108" s="91" t="str">
        <f>'L1'!$E$16</f>
        <v xml:space="preserve">Período mínimo de contratação - 4 horas. </v>
      </c>
      <c r="D108" s="64"/>
      <c r="E108" s="64"/>
      <c r="F108" s="64"/>
      <c r="G108" s="64"/>
      <c r="H108" s="64"/>
      <c r="I108" s="64"/>
      <c r="J108" s="64"/>
      <c r="K108" s="64"/>
      <c r="L108" s="64"/>
      <c r="M108" s="64"/>
      <c r="N108" s="64"/>
      <c r="O108" s="64"/>
      <c r="P108" s="64"/>
      <c r="Q108" s="64"/>
      <c r="S108" s="121"/>
    </row>
    <row r="109" spans="1:19" ht="12.6" customHeight="1" x14ac:dyDescent="0.2">
      <c r="A109" s="120"/>
      <c r="C109" s="887" t="str">
        <f>'L2'!$A$73</f>
        <v xml:space="preserve">Horário - Exclusivamente o horário do certame e inclui uma hora de pausa para refeição. 
No primeiro dia de feira, apresentar-se-ão ½ hora antes do início da realização, nos restantes dias, no horário de abertura do certame. </v>
      </c>
      <c r="D109" s="887"/>
      <c r="E109" s="887"/>
      <c r="F109" s="887"/>
      <c r="G109" s="887"/>
      <c r="H109" s="887"/>
      <c r="I109" s="887"/>
      <c r="J109" s="887"/>
      <c r="K109" s="887"/>
      <c r="L109" s="887"/>
      <c r="M109" s="887"/>
      <c r="N109" s="887"/>
      <c r="O109" s="887"/>
      <c r="P109" s="887"/>
      <c r="Q109" s="887"/>
      <c r="S109" s="121"/>
    </row>
    <row r="110" spans="1:19" ht="12.6" customHeight="1" x14ac:dyDescent="0.2">
      <c r="A110" s="120"/>
      <c r="C110" s="887"/>
      <c r="D110" s="887"/>
      <c r="E110" s="887"/>
      <c r="F110" s="887"/>
      <c r="G110" s="887"/>
      <c r="H110" s="887"/>
      <c r="I110" s="887"/>
      <c r="J110" s="887"/>
      <c r="K110" s="887"/>
      <c r="L110" s="887"/>
      <c r="M110" s="887"/>
      <c r="N110" s="887"/>
      <c r="O110" s="887"/>
      <c r="P110" s="887"/>
      <c r="Q110" s="887"/>
      <c r="S110" s="121"/>
    </row>
    <row r="111" spans="1:19" ht="12.6" customHeight="1" x14ac:dyDescent="0.2">
      <c r="A111" s="120"/>
      <c r="C111" s="114"/>
      <c r="D111" s="114"/>
      <c r="E111" s="114"/>
      <c r="F111" s="114"/>
      <c r="G111" s="114"/>
      <c r="H111" s="114"/>
      <c r="I111" s="114"/>
      <c r="J111" s="114"/>
      <c r="K111" s="114"/>
      <c r="L111" s="114"/>
      <c r="M111" s="114"/>
      <c r="N111" s="114"/>
      <c r="O111" s="114"/>
      <c r="P111" s="114"/>
      <c r="Q111" s="114"/>
      <c r="S111" s="121"/>
    </row>
    <row r="112" spans="1:19" ht="12.6" customHeight="1" x14ac:dyDescent="0.2">
      <c r="A112" s="120"/>
      <c r="C112" s="114"/>
      <c r="D112" s="114"/>
      <c r="E112" s="114"/>
      <c r="F112" s="114"/>
      <c r="G112" s="114"/>
      <c r="H112" s="114"/>
      <c r="I112" s="114"/>
      <c r="J112" s="114"/>
      <c r="K112" s="114"/>
      <c r="L112" s="114"/>
      <c r="M112" s="114"/>
      <c r="N112" s="114"/>
      <c r="O112" s="114"/>
      <c r="P112" s="114"/>
      <c r="Q112" s="114"/>
      <c r="S112" s="121"/>
    </row>
    <row r="113" spans="1:19" ht="12.6" customHeight="1" x14ac:dyDescent="0.2">
      <c r="A113" s="120"/>
      <c r="C113" s="896" t="str">
        <f>'T1'!$O$11</f>
        <v xml:space="preserve">VIGILÂNCIA </v>
      </c>
      <c r="D113" s="896"/>
      <c r="E113" s="896"/>
      <c r="F113" s="896"/>
      <c r="G113" s="896"/>
      <c r="H113" s="896"/>
      <c r="I113" s="896"/>
      <c r="J113" s="896"/>
      <c r="K113" s="64"/>
      <c r="M113" s="788" t="s">
        <v>153</v>
      </c>
      <c r="N113" s="64"/>
      <c r="O113" s="64"/>
      <c r="P113" s="64"/>
      <c r="Q113" s="64"/>
      <c r="S113" s="121"/>
    </row>
    <row r="114" spans="1:19" ht="12.6" customHeight="1" x14ac:dyDescent="0.2">
      <c r="A114" s="120"/>
      <c r="C114" s="64" t="str">
        <f>'L2'!$A$78</f>
        <v>Tem por função garantir a segurança dos produtos expostos no Stand.</v>
      </c>
      <c r="D114" s="64"/>
      <c r="E114" s="64"/>
      <c r="F114" s="64"/>
      <c r="G114" s="64"/>
      <c r="H114" s="64"/>
      <c r="I114" s="64"/>
      <c r="J114" s="64"/>
      <c r="K114" s="64"/>
      <c r="L114" s="64"/>
      <c r="M114" s="64"/>
      <c r="N114" s="64"/>
      <c r="O114" s="64"/>
      <c r="P114" s="64"/>
      <c r="Q114" s="64"/>
      <c r="S114" s="121"/>
    </row>
    <row r="115" spans="1:19" ht="12.6" customHeight="1" x14ac:dyDescent="0.2">
      <c r="A115" s="120"/>
      <c r="C115" s="91" t="str">
        <f>'L1'!$C$1</f>
        <v xml:space="preserve">Período mínimo de contratação: </v>
      </c>
      <c r="D115" s="64"/>
      <c r="E115" s="64"/>
      <c r="F115" s="64"/>
      <c r="G115" s="64"/>
      <c r="H115" s="64"/>
      <c r="I115" s="64"/>
      <c r="J115" s="64"/>
      <c r="K115" s="64"/>
      <c r="L115" s="64"/>
      <c r="M115" s="64"/>
      <c r="N115" s="64"/>
      <c r="O115" s="64"/>
      <c r="P115" s="64"/>
      <c r="Q115" s="64"/>
      <c r="S115" s="121"/>
    </row>
    <row r="116" spans="1:19" ht="12.6" customHeight="1" x14ac:dyDescent="0.2">
      <c r="A116" s="120"/>
      <c r="C116" s="887" t="str">
        <f>'L2'!$A$93</f>
        <v>Segurança durante o dia - 1 dia de realização da Feira. Segurança durante a Noite - Da hora de encerramento até à hora de realização.
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v>
      </c>
      <c r="D116" s="887"/>
      <c r="E116" s="887"/>
      <c r="F116" s="887"/>
      <c r="G116" s="887"/>
      <c r="H116" s="887"/>
      <c r="I116" s="887"/>
      <c r="J116" s="887"/>
      <c r="K116" s="887"/>
      <c r="L116" s="887"/>
      <c r="M116" s="887"/>
      <c r="N116" s="887"/>
      <c r="O116" s="887"/>
      <c r="P116" s="887"/>
      <c r="Q116" s="887"/>
      <c r="S116" s="121"/>
    </row>
    <row r="117" spans="1:19" ht="12.6" customHeight="1" x14ac:dyDescent="0.2">
      <c r="A117" s="120"/>
      <c r="C117" s="887"/>
      <c r="D117" s="887"/>
      <c r="E117" s="887"/>
      <c r="F117" s="887"/>
      <c r="G117" s="887"/>
      <c r="H117" s="887"/>
      <c r="I117" s="887"/>
      <c r="J117" s="887"/>
      <c r="K117" s="887"/>
      <c r="L117" s="887"/>
      <c r="M117" s="887"/>
      <c r="N117" s="887"/>
      <c r="O117" s="887"/>
      <c r="P117" s="887"/>
      <c r="Q117" s="887"/>
      <c r="S117" s="121"/>
    </row>
    <row r="118" spans="1:19" ht="12.6" customHeight="1" x14ac:dyDescent="0.2">
      <c r="A118" s="120"/>
      <c r="C118" s="887"/>
      <c r="D118" s="887"/>
      <c r="E118" s="887"/>
      <c r="F118" s="887"/>
      <c r="G118" s="887"/>
      <c r="H118" s="887"/>
      <c r="I118" s="887"/>
      <c r="J118" s="887"/>
      <c r="K118" s="887"/>
      <c r="L118" s="887"/>
      <c r="M118" s="887"/>
      <c r="N118" s="887"/>
      <c r="O118" s="887"/>
      <c r="P118" s="887"/>
      <c r="Q118" s="887"/>
      <c r="S118" s="121"/>
    </row>
    <row r="119" spans="1:19" ht="12.6" customHeight="1" x14ac:dyDescent="0.2">
      <c r="A119" s="120"/>
      <c r="C119" s="887"/>
      <c r="D119" s="887"/>
      <c r="E119" s="887"/>
      <c r="F119" s="887"/>
      <c r="G119" s="887"/>
      <c r="H119" s="887"/>
      <c r="I119" s="887"/>
      <c r="J119" s="887"/>
      <c r="K119" s="887"/>
      <c r="L119" s="887"/>
      <c r="M119" s="887"/>
      <c r="N119" s="887"/>
      <c r="O119" s="887"/>
      <c r="P119" s="887"/>
      <c r="Q119" s="887"/>
      <c r="S119" s="121"/>
    </row>
    <row r="120" spans="1:19" ht="12.6" customHeight="1" thickBot="1" x14ac:dyDescent="0.25">
      <c r="A120" s="203"/>
      <c r="B120" s="204"/>
      <c r="C120" s="205"/>
      <c r="D120" s="205"/>
      <c r="E120" s="205"/>
      <c r="F120" s="204"/>
      <c r="G120" s="205"/>
      <c r="H120" s="205"/>
      <c r="I120" s="205"/>
      <c r="J120" s="205"/>
      <c r="K120" s="205"/>
      <c r="L120" s="205"/>
      <c r="M120" s="205"/>
      <c r="N120" s="205"/>
      <c r="O120" s="205"/>
      <c r="P120" s="205"/>
      <c r="Q120" s="205"/>
      <c r="R120" s="204"/>
      <c r="S120" s="206"/>
    </row>
    <row r="121" spans="1:19" ht="12.6" customHeight="1" x14ac:dyDescent="0.2">
      <c r="A121" s="207"/>
      <c r="B121" s="208"/>
      <c r="C121" s="209"/>
      <c r="D121" s="209"/>
      <c r="E121" s="209"/>
      <c r="F121" s="209"/>
      <c r="G121" s="209"/>
      <c r="H121" s="209"/>
      <c r="I121" s="209"/>
      <c r="J121" s="209"/>
      <c r="K121" s="209"/>
      <c r="L121" s="209"/>
      <c r="M121" s="209"/>
      <c r="N121" s="209"/>
      <c r="O121" s="209"/>
      <c r="P121" s="209"/>
      <c r="Q121" s="209"/>
      <c r="R121" s="208"/>
      <c r="S121" s="210"/>
    </row>
    <row r="122" spans="1:19" ht="12.6" customHeight="1" x14ac:dyDescent="0.2">
      <c r="A122" s="120"/>
      <c r="C122" s="896" t="str">
        <f>'T1'!$G$16</f>
        <v>LIMPEZA DE STAND</v>
      </c>
      <c r="D122" s="896"/>
      <c r="E122" s="896"/>
      <c r="F122" s="896"/>
      <c r="G122" s="896"/>
      <c r="H122" s="896"/>
      <c r="I122" s="896"/>
      <c r="J122" s="896"/>
      <c r="K122" s="91"/>
      <c r="M122" s="788" t="s">
        <v>153</v>
      </c>
      <c r="Q122" s="361" t="s">
        <v>666</v>
      </c>
      <c r="S122" s="121"/>
    </row>
    <row r="123" spans="1:19" ht="12.6" customHeight="1" x14ac:dyDescent="0.2">
      <c r="A123" s="120"/>
      <c r="C123" s="938" t="str">
        <f>'L1'!$A$8</f>
        <v>Inclui</v>
      </c>
      <c r="D123" s="939"/>
      <c r="E123" s="945" t="str">
        <f>'L2'!$A$98</f>
        <v>• Limpeza antes da abertura do Certame, após o término das montagens no pavilhão (Remoção dos plásticos protectores da alcatifa 
   do stand; Aspiração de alcatifa; Lavagem de pavimentos; Limpeza de mobiliário).</v>
      </c>
      <c r="F123" s="913"/>
      <c r="G123" s="913"/>
      <c r="H123" s="913"/>
      <c r="I123" s="913"/>
      <c r="J123" s="913"/>
      <c r="K123" s="913"/>
      <c r="L123" s="913"/>
      <c r="M123" s="913"/>
      <c r="N123" s="913"/>
      <c r="O123" s="913"/>
      <c r="P123" s="913"/>
      <c r="Q123" s="913"/>
      <c r="S123" s="121"/>
    </row>
    <row r="124" spans="1:19" ht="12.6" customHeight="1" x14ac:dyDescent="0.2">
      <c r="A124" s="120"/>
      <c r="C124" s="940"/>
      <c r="D124" s="941"/>
      <c r="E124" s="945"/>
      <c r="F124" s="913"/>
      <c r="G124" s="913"/>
      <c r="H124" s="913"/>
      <c r="I124" s="913"/>
      <c r="J124" s="913"/>
      <c r="K124" s="913"/>
      <c r="L124" s="913"/>
      <c r="M124" s="913"/>
      <c r="N124" s="913"/>
      <c r="O124" s="913"/>
      <c r="P124" s="913"/>
      <c r="Q124" s="913"/>
      <c r="S124" s="121"/>
    </row>
    <row r="125" spans="1:19" ht="12.6" customHeight="1" x14ac:dyDescent="0.2">
      <c r="A125" s="120"/>
      <c r="C125" s="940"/>
      <c r="D125" s="941"/>
      <c r="E125" s="108" t="str">
        <f>'L2'!$A$103</f>
        <v>• Limpeza diária até uma hora antes da abertura do Certame (Aspiração de alcatifas e Limpeza de pó).</v>
      </c>
      <c r="F125" s="37"/>
      <c r="G125" s="37"/>
      <c r="H125" s="37"/>
      <c r="I125" s="37"/>
      <c r="J125" s="37"/>
      <c r="K125" s="37"/>
      <c r="L125" s="37"/>
      <c r="M125" s="37"/>
      <c r="N125" s="37"/>
      <c r="O125" s="37"/>
      <c r="P125" s="37"/>
      <c r="Q125" s="37"/>
      <c r="S125" s="121"/>
    </row>
    <row r="126" spans="1:19" ht="12.6" customHeight="1" x14ac:dyDescent="0.2">
      <c r="A126" s="120"/>
      <c r="C126" s="940"/>
      <c r="D126" s="941"/>
      <c r="E126" s="108" t="str">
        <f>'L2'!$A$108</f>
        <v xml:space="preserve">• Piquete rotativo 2 vezes por dia durante a realização para a recolha de lixos; </v>
      </c>
      <c r="F126" s="37"/>
      <c r="G126" s="37"/>
      <c r="H126" s="37"/>
      <c r="I126" s="37"/>
      <c r="J126" s="37"/>
      <c r="K126" s="37"/>
      <c r="L126" s="37"/>
      <c r="M126" s="37"/>
      <c r="N126" s="37"/>
      <c r="O126" s="37"/>
      <c r="P126" s="37"/>
      <c r="Q126" s="37"/>
      <c r="S126" s="121"/>
    </row>
    <row r="127" spans="1:19" ht="12.6" customHeight="1" x14ac:dyDescent="0.2">
      <c r="A127" s="120"/>
      <c r="C127" s="940"/>
      <c r="D127" s="941"/>
      <c r="E127" s="108" t="str">
        <f>'L2'!$A$113</f>
        <v>• Limpeza dos cestos de lixo;</v>
      </c>
      <c r="F127" s="37"/>
      <c r="G127" s="37"/>
      <c r="H127" s="37"/>
      <c r="I127" s="37"/>
      <c r="J127" s="37"/>
      <c r="K127" s="37"/>
      <c r="L127" s="37"/>
      <c r="M127" s="37"/>
      <c r="N127" s="37"/>
      <c r="O127" s="37"/>
      <c r="P127" s="37"/>
      <c r="Q127" s="37"/>
      <c r="S127" s="121"/>
    </row>
    <row r="128" spans="1:19" ht="12.6" customHeight="1" x14ac:dyDescent="0.2">
      <c r="A128" s="120"/>
      <c r="C128" s="942"/>
      <c r="D128" s="943"/>
      <c r="E128" s="108" t="str">
        <f>'L2'!$A$118</f>
        <v>• Pequenas limpezas irregulares em zonas com derrames e a pedido dos expositores, com excepção de aspirações.</v>
      </c>
      <c r="F128" s="37"/>
      <c r="G128" s="37"/>
      <c r="H128" s="37"/>
      <c r="I128" s="37"/>
      <c r="J128" s="37"/>
      <c r="K128" s="37"/>
      <c r="L128" s="37"/>
      <c r="M128" s="37"/>
      <c r="N128" s="37"/>
      <c r="O128" s="37"/>
      <c r="P128" s="37"/>
      <c r="Q128" s="37"/>
      <c r="S128" s="121"/>
    </row>
    <row r="129" spans="1:19" ht="12.6" customHeight="1" x14ac:dyDescent="0.2">
      <c r="A129" s="120"/>
      <c r="S129" s="121"/>
    </row>
    <row r="130" spans="1:19" ht="12.6" customHeight="1" x14ac:dyDescent="0.2">
      <c r="A130" s="120"/>
      <c r="C130" s="897" t="str">
        <f>'L1'!$A$3</f>
        <v>NÃO Inclui</v>
      </c>
      <c r="D130" s="898"/>
      <c r="E130" s="344" t="str">
        <f>'L2'!$A$123</f>
        <v>• Limpeza de objectos ou produtos expostos; (sujeita a Orçamento)</v>
      </c>
      <c r="F130" s="344"/>
      <c r="G130" s="344"/>
      <c r="H130" s="344"/>
      <c r="I130" s="344"/>
      <c r="J130" s="344"/>
      <c r="K130" s="344"/>
      <c r="L130" s="344"/>
      <c r="M130" s="344"/>
      <c r="N130" s="344"/>
      <c r="O130" s="344"/>
      <c r="P130" s="344"/>
      <c r="Q130" s="344"/>
      <c r="S130" s="121"/>
    </row>
    <row r="131" spans="1:19" ht="12.6" customHeight="1" x14ac:dyDescent="0.2">
      <c r="A131" s="120"/>
      <c r="C131" s="899"/>
      <c r="D131" s="900"/>
      <c r="E131" s="344" t="str">
        <f>'L2'!$A$128</f>
        <v xml:space="preserve">• Remoção de materiais e utensílios sobrantes de montagens; </v>
      </c>
      <c r="F131" s="344"/>
      <c r="G131" s="344"/>
      <c r="H131" s="344"/>
      <c r="I131" s="344"/>
      <c r="J131" s="344"/>
      <c r="K131" s="344"/>
      <c r="L131" s="344"/>
      <c r="M131" s="344"/>
      <c r="N131" s="344"/>
      <c r="O131" s="344"/>
      <c r="P131" s="344"/>
      <c r="Q131" s="344"/>
      <c r="S131" s="121"/>
    </row>
    <row r="132" spans="1:19" ht="12.6" customHeight="1" x14ac:dyDescent="0.2">
      <c r="A132" s="120"/>
      <c r="C132" s="899"/>
      <c r="D132" s="900"/>
      <c r="E132" s="344" t="str">
        <f>'L2'!$A$133</f>
        <v xml:space="preserve">• Lavagem de alcatifas e remoção de nódoas; . </v>
      </c>
      <c r="F132" s="344"/>
      <c r="G132" s="344"/>
      <c r="H132" s="344"/>
      <c r="I132" s="344"/>
      <c r="J132" s="344"/>
      <c r="K132" s="344"/>
      <c r="L132" s="344"/>
      <c r="M132" s="344"/>
      <c r="N132" s="344"/>
      <c r="O132" s="344"/>
      <c r="P132" s="344"/>
      <c r="Q132" s="344"/>
      <c r="S132" s="121"/>
    </row>
    <row r="133" spans="1:19" ht="12.6" customHeight="1" x14ac:dyDescent="0.2">
      <c r="A133" s="120"/>
      <c r="C133" s="899"/>
      <c r="D133" s="900"/>
      <c r="E133" s="344" t="str">
        <f>'L2'!$A$138</f>
        <v xml:space="preserve">• Lavagem com meios mecânicos de pavimentos; </v>
      </c>
      <c r="F133" s="344"/>
      <c r="G133" s="344"/>
      <c r="H133" s="344"/>
      <c r="I133" s="344"/>
      <c r="J133" s="344"/>
      <c r="K133" s="344"/>
      <c r="L133" s="344"/>
      <c r="M133" s="344"/>
      <c r="N133" s="344"/>
      <c r="O133" s="344"/>
      <c r="P133" s="344"/>
      <c r="Q133" s="344"/>
      <c r="S133" s="121"/>
    </row>
    <row r="134" spans="1:19" ht="12.6" customHeight="1" x14ac:dyDescent="0.2">
      <c r="A134" s="120"/>
      <c r="C134" s="899"/>
      <c r="D134" s="900"/>
      <c r="E134" s="344" t="str">
        <f>'L2'!$A$143</f>
        <v xml:space="preserve">• Tratamento de pavimentos, tais como: Selagens, enceramentos e vitrificações de pavimentos em mármore, lustragens, etc;. </v>
      </c>
      <c r="F134" s="344"/>
      <c r="G134" s="344"/>
      <c r="H134" s="344"/>
      <c r="I134" s="344"/>
      <c r="J134" s="344"/>
      <c r="K134" s="344"/>
      <c r="L134" s="344"/>
      <c r="M134" s="344"/>
      <c r="N134" s="344"/>
      <c r="O134" s="344"/>
      <c r="P134" s="344"/>
      <c r="Q134" s="344"/>
      <c r="S134" s="121"/>
    </row>
    <row r="135" spans="1:19" ht="12.6" customHeight="1" x14ac:dyDescent="0.2">
      <c r="A135" s="120"/>
      <c r="C135" s="901"/>
      <c r="D135" s="902"/>
      <c r="E135" s="344" t="str">
        <f>'L2'!$A$148</f>
        <v xml:space="preserve">• Remoção de colas em mobiliário e painéis verticais. </v>
      </c>
      <c r="F135" s="170"/>
      <c r="G135" s="170"/>
      <c r="H135" s="170"/>
      <c r="I135" s="170"/>
      <c r="J135" s="170"/>
      <c r="K135" s="170"/>
      <c r="L135" s="170"/>
      <c r="M135" s="170"/>
      <c r="N135" s="170"/>
      <c r="O135" s="170"/>
      <c r="P135" s="170"/>
      <c r="Q135" s="170"/>
      <c r="S135" s="121"/>
    </row>
    <row r="136" spans="1:19" ht="12.6" customHeight="1" x14ac:dyDescent="0.2">
      <c r="A136" s="120"/>
      <c r="C136" s="170"/>
      <c r="D136" s="170"/>
      <c r="E136" s="170"/>
      <c r="F136" s="170"/>
      <c r="G136" s="170"/>
      <c r="H136" s="170"/>
      <c r="I136" s="170"/>
      <c r="J136" s="170"/>
      <c r="K136" s="170"/>
      <c r="L136" s="170"/>
      <c r="M136" s="170"/>
      <c r="N136" s="170"/>
      <c r="O136" s="170"/>
      <c r="P136" s="170"/>
      <c r="Q136" s="170"/>
      <c r="S136" s="121"/>
    </row>
    <row r="137" spans="1:19" ht="12.6" customHeight="1" x14ac:dyDescent="0.2">
      <c r="A137" s="120"/>
      <c r="C137" s="170"/>
      <c r="D137" s="170"/>
      <c r="E137" s="170"/>
      <c r="F137" s="170"/>
      <c r="G137" s="170"/>
      <c r="H137" s="170"/>
      <c r="I137" s="170"/>
      <c r="J137" s="170"/>
      <c r="K137" s="170"/>
      <c r="L137" s="170"/>
      <c r="M137" s="170"/>
      <c r="N137" s="170"/>
      <c r="O137" s="170"/>
      <c r="P137" s="170"/>
      <c r="Q137" s="170"/>
      <c r="S137" s="121"/>
    </row>
    <row r="138" spans="1:19" ht="12.6" customHeight="1" x14ac:dyDescent="0.2">
      <c r="A138" s="120"/>
      <c r="C138" s="896" t="str">
        <f>'T1'!$I$21</f>
        <v>CONTENTOR PARA LIXO DESMONTAGEM</v>
      </c>
      <c r="D138" s="896"/>
      <c r="E138" s="896"/>
      <c r="F138" s="896"/>
      <c r="G138" s="896"/>
      <c r="H138" s="896"/>
      <c r="I138" s="896"/>
      <c r="J138" s="896"/>
      <c r="K138" s="114"/>
      <c r="M138" s="788" t="s">
        <v>153</v>
      </c>
      <c r="N138" s="114"/>
      <c r="O138" s="114"/>
      <c r="P138" s="114"/>
      <c r="Q138" s="114"/>
      <c r="S138" s="121"/>
    </row>
    <row r="139" spans="1:19" ht="12.6" customHeight="1" x14ac:dyDescent="0.2">
      <c r="A139" s="120"/>
      <c r="E139" s="354" t="s">
        <v>362</v>
      </c>
      <c r="F139" s="936">
        <f>Serviços!$AA$65</f>
        <v>386.75</v>
      </c>
      <c r="G139" s="936"/>
      <c r="H139" s="355"/>
      <c r="I139" s="356" t="s">
        <v>363</v>
      </c>
      <c r="J139" s="936">
        <f>Serviços!$AA$66</f>
        <v>723.24</v>
      </c>
      <c r="K139" s="936"/>
      <c r="L139" s="357"/>
      <c r="M139" s="358" t="s">
        <v>364</v>
      </c>
      <c r="N139" s="936">
        <f>Serviços!$AA$67</f>
        <v>1025.55</v>
      </c>
      <c r="O139" s="937"/>
      <c r="S139" s="121"/>
    </row>
    <row r="140" spans="1:19" ht="12.6" customHeight="1" x14ac:dyDescent="0.2">
      <c r="A140" s="120"/>
      <c r="C140" s="6"/>
      <c r="D140" s="172"/>
      <c r="E140" s="172"/>
      <c r="F140" s="6"/>
      <c r="G140" s="172"/>
      <c r="H140" s="172"/>
      <c r="I140" s="6"/>
      <c r="J140" s="172"/>
      <c r="K140" s="172"/>
      <c r="L140" s="6"/>
      <c r="M140" s="172"/>
      <c r="N140" s="172"/>
      <c r="O140" s="79"/>
      <c r="P140" s="172"/>
      <c r="Q140" s="172"/>
      <c r="S140" s="121"/>
    </row>
    <row r="141" spans="1:19" ht="12.6" customHeight="1" x14ac:dyDescent="0.2">
      <c r="A141" s="120"/>
      <c r="C141" s="6"/>
      <c r="D141" s="172"/>
      <c r="E141" s="172"/>
      <c r="F141" s="6"/>
      <c r="G141" s="172"/>
      <c r="H141" s="172"/>
      <c r="I141" s="6"/>
      <c r="J141" s="172"/>
      <c r="K141" s="172"/>
      <c r="L141" s="6"/>
      <c r="M141" s="172"/>
      <c r="N141" s="172"/>
      <c r="O141" s="79"/>
      <c r="P141" s="172"/>
      <c r="Q141" s="172"/>
      <c r="S141" s="121"/>
    </row>
    <row r="142" spans="1:19" ht="12.6" customHeight="1" x14ac:dyDescent="0.2">
      <c r="A142" s="120"/>
      <c r="C142" s="896" t="str">
        <f>'T1'!$M$16</f>
        <v>PARQUE SUBTERRÂNEO</v>
      </c>
      <c r="D142" s="896"/>
      <c r="E142" s="896"/>
      <c r="F142" s="896"/>
      <c r="G142" s="896"/>
      <c r="H142" s="896"/>
      <c r="I142" s="896"/>
      <c r="J142" s="896"/>
      <c r="K142" s="64"/>
      <c r="M142" s="788" t="s">
        <v>153</v>
      </c>
      <c r="S142" s="121"/>
    </row>
    <row r="143" spans="1:19" s="64" customFormat="1" ht="12.6" customHeight="1" x14ac:dyDescent="0.25">
      <c r="A143" s="195"/>
      <c r="C143" s="935" t="str">
        <f>'L2'!$A$153</f>
        <v>O parque de estacionamento situado nas instalações da FIL encontra-se concessionado à Placegar – Gestão de Estacionamentos.
A FIL em articulação com este concessionário, mantém a venda de cartões de parque nas feiras, válidos para o período de montagem, realização e desmontagem na totalidade dos horários definidos para cada um destes períodos. 
O parque de estacionamento funciona 24 horas por dia.
O Expositor poderá ainda adquirir nas máquinas de pagamento do parque de estacionamento, o bilhete diário pelo valor de 15,00€ (P.V.P).</v>
      </c>
      <c r="D143" s="935"/>
      <c r="E143" s="935"/>
      <c r="F143" s="935"/>
      <c r="G143" s="935"/>
      <c r="H143" s="935"/>
      <c r="I143" s="935"/>
      <c r="J143" s="935"/>
      <c r="K143" s="935"/>
      <c r="L143" s="935"/>
      <c r="M143" s="935"/>
      <c r="N143" s="935"/>
      <c r="O143" s="935"/>
      <c r="P143" s="935"/>
      <c r="Q143" s="935"/>
      <c r="S143" s="196"/>
    </row>
    <row r="144" spans="1:19" s="64" customFormat="1" ht="12.6" customHeight="1" x14ac:dyDescent="0.25">
      <c r="A144" s="195"/>
      <c r="C144" s="935"/>
      <c r="D144" s="935"/>
      <c r="E144" s="935"/>
      <c r="F144" s="935"/>
      <c r="G144" s="935"/>
      <c r="H144" s="935"/>
      <c r="I144" s="935"/>
      <c r="J144" s="935"/>
      <c r="K144" s="935"/>
      <c r="L144" s="935"/>
      <c r="M144" s="935"/>
      <c r="N144" s="935"/>
      <c r="O144" s="935"/>
      <c r="P144" s="935"/>
      <c r="Q144" s="935"/>
      <c r="S144" s="196"/>
    </row>
    <row r="145" spans="1:19" s="64" customFormat="1" ht="12.6" customHeight="1" x14ac:dyDescent="0.25">
      <c r="A145" s="195"/>
      <c r="C145" s="935"/>
      <c r="D145" s="935"/>
      <c r="E145" s="935"/>
      <c r="F145" s="935"/>
      <c r="G145" s="935"/>
      <c r="H145" s="935"/>
      <c r="I145" s="935"/>
      <c r="J145" s="935"/>
      <c r="K145" s="935"/>
      <c r="L145" s="935"/>
      <c r="M145" s="935"/>
      <c r="N145" s="935"/>
      <c r="O145" s="935"/>
      <c r="P145" s="935"/>
      <c r="Q145" s="935"/>
      <c r="S145" s="196"/>
    </row>
    <row r="146" spans="1:19" s="64" customFormat="1" ht="12.6" customHeight="1" x14ac:dyDescent="0.25">
      <c r="A146" s="195"/>
      <c r="C146" s="935"/>
      <c r="D146" s="935"/>
      <c r="E146" s="935"/>
      <c r="F146" s="935"/>
      <c r="G146" s="935"/>
      <c r="H146" s="935"/>
      <c r="I146" s="935"/>
      <c r="J146" s="935"/>
      <c r="K146" s="935"/>
      <c r="L146" s="935"/>
      <c r="M146" s="935"/>
      <c r="N146" s="935"/>
      <c r="O146" s="935"/>
      <c r="P146" s="935"/>
      <c r="Q146" s="935"/>
      <c r="S146" s="196"/>
    </row>
    <row r="147" spans="1:19" s="64" customFormat="1" ht="12.6" customHeight="1" x14ac:dyDescent="0.25">
      <c r="A147" s="195"/>
      <c r="C147" s="935"/>
      <c r="D147" s="935"/>
      <c r="E147" s="935"/>
      <c r="F147" s="935"/>
      <c r="G147" s="935"/>
      <c r="H147" s="935"/>
      <c r="I147" s="935"/>
      <c r="J147" s="935"/>
      <c r="K147" s="935"/>
      <c r="L147" s="935"/>
      <c r="M147" s="935"/>
      <c r="N147" s="935"/>
      <c r="O147" s="935"/>
      <c r="P147" s="935"/>
      <c r="Q147" s="935"/>
      <c r="S147" s="196"/>
    </row>
    <row r="148" spans="1:19" s="64" customFormat="1" ht="12.6" customHeight="1" x14ac:dyDescent="0.25">
      <c r="A148" s="195"/>
      <c r="C148" s="935"/>
      <c r="D148" s="935"/>
      <c r="E148" s="935"/>
      <c r="F148" s="935"/>
      <c r="G148" s="935"/>
      <c r="H148" s="935"/>
      <c r="I148" s="935"/>
      <c r="J148" s="935"/>
      <c r="K148" s="935"/>
      <c r="L148" s="935"/>
      <c r="M148" s="935"/>
      <c r="N148" s="935"/>
      <c r="O148" s="935"/>
      <c r="P148" s="935"/>
      <c r="Q148" s="935"/>
      <c r="S148" s="196"/>
    </row>
    <row r="149" spans="1:19" ht="12.6" customHeight="1" x14ac:dyDescent="0.2">
      <c r="A149" s="120"/>
      <c r="C149" s="170"/>
      <c r="D149" s="170"/>
      <c r="E149" s="170"/>
      <c r="F149" s="170"/>
      <c r="G149" s="170"/>
      <c r="H149" s="170"/>
      <c r="I149" s="170"/>
      <c r="J149" s="170"/>
      <c r="K149" s="170"/>
      <c r="L149" s="170"/>
      <c r="M149" s="170"/>
      <c r="N149" s="170"/>
      <c r="O149" s="170"/>
      <c r="P149" s="170"/>
      <c r="Q149" s="170"/>
      <c r="S149" s="121"/>
    </row>
    <row r="150" spans="1:19" ht="12.6" customHeight="1" x14ac:dyDescent="0.2">
      <c r="A150" s="120"/>
      <c r="C150" s="926" t="str">
        <f>'T1'!$S$6</f>
        <v>BILHETES ELECTRÓNICOS</v>
      </c>
      <c r="D150" s="926"/>
      <c r="E150" s="926"/>
      <c r="F150" s="926"/>
      <c r="G150" s="926"/>
      <c r="H150" s="926"/>
      <c r="I150" s="926"/>
      <c r="J150" s="926"/>
      <c r="K150" s="114"/>
      <c r="M150" s="788" t="s">
        <v>153</v>
      </c>
      <c r="O150" s="114"/>
      <c r="P150" s="114"/>
      <c r="Q150" s="114"/>
      <c r="S150" s="121"/>
    </row>
    <row r="151" spans="1:19" s="64" customFormat="1" ht="12.6" customHeight="1" x14ac:dyDescent="0.25">
      <c r="A151" s="195"/>
      <c r="C151" s="944" t="str">
        <f>'L1'!$G$6</f>
        <v xml:space="preserve">Por cada 9 m2 serão atribuidos </v>
      </c>
      <c r="D151" s="944"/>
      <c r="E151" s="944"/>
      <c r="F151" s="202">
        <f>'T1'!$B$15</f>
        <v>10</v>
      </c>
      <c r="G151" s="64" t="str">
        <f>'L1'!$G$11</f>
        <v>bilhetes gratuítos, válidos para um único acesso.</v>
      </c>
      <c r="H151" s="108"/>
      <c r="I151" s="108"/>
      <c r="J151" s="108"/>
      <c r="K151" s="108"/>
      <c r="L151" s="108"/>
      <c r="M151" s="108"/>
      <c r="N151" s="108"/>
      <c r="O151" s="108"/>
      <c r="P151" s="108"/>
      <c r="Q151" s="108"/>
      <c r="S151" s="196"/>
    </row>
    <row r="152" spans="1:19" ht="12.6" customHeight="1" x14ac:dyDescent="0.2">
      <c r="A152" s="120"/>
      <c r="C152" s="905" t="str">
        <f>'L2'!$A$158</f>
        <v>A FIL envia os bilhetes de forma digital, pelo que irá receber um e-mail com um link de acesso à plataforma.
Para enviar os seus bilhetes basta inserir o e-mail dos seus convidados e seleccionar o número que pretende atribuir. 
Pode visualizar o estado dos bilhetes emitidos e aceites em tempo real.
Os seus convidados ficam automaticamente credenciados para a feira e podem apresentar o bilhete num dispositivo móvel, não sendo necessária a impressão
Após a data limite, ÚLTIMO DIA DE MONTAGEM até às 17H00, não será possível requisitar bilhetes pelo que na eventualidade do expositor necessitar de bilhetes terá de adquirir ao preço de bilheteira.  
Na eventualidade da FIL disponibilizar o Serviço de Impressão dos convites, os mesmos terão um preço unitário de 0,25 € + IVA.</v>
      </c>
      <c r="D152" s="905"/>
      <c r="E152" s="905"/>
      <c r="F152" s="905"/>
      <c r="G152" s="905"/>
      <c r="H152" s="905"/>
      <c r="I152" s="905"/>
      <c r="J152" s="905"/>
      <c r="K152" s="905"/>
      <c r="L152" s="905"/>
      <c r="M152" s="905"/>
      <c r="N152" s="905"/>
      <c r="O152" s="905"/>
      <c r="P152" s="905"/>
      <c r="Q152" s="905"/>
      <c r="S152" s="121"/>
    </row>
    <row r="153" spans="1:19" ht="12.6" customHeight="1" x14ac:dyDescent="0.2">
      <c r="A153" s="120"/>
      <c r="C153" s="905"/>
      <c r="D153" s="905"/>
      <c r="E153" s="905"/>
      <c r="F153" s="905"/>
      <c r="G153" s="905"/>
      <c r="H153" s="905"/>
      <c r="I153" s="905"/>
      <c r="J153" s="905"/>
      <c r="K153" s="905"/>
      <c r="L153" s="905"/>
      <c r="M153" s="905"/>
      <c r="N153" s="905"/>
      <c r="O153" s="905"/>
      <c r="P153" s="905"/>
      <c r="Q153" s="905"/>
      <c r="S153" s="121"/>
    </row>
    <row r="154" spans="1:19" ht="12.6" customHeight="1" x14ac:dyDescent="0.2">
      <c r="A154" s="120"/>
      <c r="C154" s="905"/>
      <c r="D154" s="905"/>
      <c r="E154" s="905"/>
      <c r="F154" s="905"/>
      <c r="G154" s="905"/>
      <c r="H154" s="905"/>
      <c r="I154" s="905"/>
      <c r="J154" s="905"/>
      <c r="K154" s="905"/>
      <c r="L154" s="905"/>
      <c r="M154" s="905"/>
      <c r="N154" s="905"/>
      <c r="O154" s="905"/>
      <c r="P154" s="905"/>
      <c r="Q154" s="905"/>
      <c r="S154" s="121"/>
    </row>
    <row r="155" spans="1:19" ht="12.6" customHeight="1" x14ac:dyDescent="0.2">
      <c r="A155" s="120"/>
      <c r="C155" s="905"/>
      <c r="D155" s="905"/>
      <c r="E155" s="905"/>
      <c r="F155" s="905"/>
      <c r="G155" s="905"/>
      <c r="H155" s="905"/>
      <c r="I155" s="905"/>
      <c r="J155" s="905"/>
      <c r="K155" s="905"/>
      <c r="L155" s="905"/>
      <c r="M155" s="905"/>
      <c r="N155" s="905"/>
      <c r="O155" s="905"/>
      <c r="P155" s="905"/>
      <c r="Q155" s="905"/>
      <c r="S155" s="121"/>
    </row>
    <row r="156" spans="1:19" ht="12.6" customHeight="1" x14ac:dyDescent="0.2">
      <c r="A156" s="120"/>
      <c r="C156" s="905"/>
      <c r="D156" s="905"/>
      <c r="E156" s="905"/>
      <c r="F156" s="905"/>
      <c r="G156" s="905"/>
      <c r="H156" s="905"/>
      <c r="I156" s="905"/>
      <c r="J156" s="905"/>
      <c r="K156" s="905"/>
      <c r="L156" s="905"/>
      <c r="M156" s="905"/>
      <c r="N156" s="905"/>
      <c r="O156" s="905"/>
      <c r="P156" s="905"/>
      <c r="Q156" s="905"/>
      <c r="S156" s="121"/>
    </row>
    <row r="157" spans="1:19" ht="12.6" customHeight="1" x14ac:dyDescent="0.2">
      <c r="A157" s="120"/>
      <c r="C157" s="905"/>
      <c r="D157" s="905"/>
      <c r="E157" s="905"/>
      <c r="F157" s="905"/>
      <c r="G157" s="905"/>
      <c r="H157" s="905"/>
      <c r="I157" s="905"/>
      <c r="J157" s="905"/>
      <c r="K157" s="905"/>
      <c r="L157" s="905"/>
      <c r="M157" s="905"/>
      <c r="N157" s="905"/>
      <c r="O157" s="905"/>
      <c r="P157" s="905"/>
      <c r="Q157" s="905"/>
      <c r="S157" s="121"/>
    </row>
    <row r="158" spans="1:19" ht="12.6" customHeight="1" x14ac:dyDescent="0.2">
      <c r="A158" s="120"/>
      <c r="C158" s="905"/>
      <c r="D158" s="905"/>
      <c r="E158" s="905"/>
      <c r="F158" s="905"/>
      <c r="G158" s="905"/>
      <c r="H158" s="905"/>
      <c r="I158" s="905"/>
      <c r="J158" s="905"/>
      <c r="K158" s="905"/>
      <c r="L158" s="905"/>
      <c r="M158" s="905"/>
      <c r="N158" s="905"/>
      <c r="O158" s="905"/>
      <c r="P158" s="905"/>
      <c r="Q158" s="905"/>
      <c r="S158" s="121"/>
    </row>
    <row r="159" spans="1:19" ht="12.6" customHeight="1" x14ac:dyDescent="0.2">
      <c r="A159" s="120"/>
      <c r="C159" s="905"/>
      <c r="D159" s="905"/>
      <c r="E159" s="905"/>
      <c r="F159" s="905"/>
      <c r="G159" s="905"/>
      <c r="H159" s="905"/>
      <c r="I159" s="905"/>
      <c r="J159" s="905"/>
      <c r="K159" s="905"/>
      <c r="L159" s="905"/>
      <c r="M159" s="905"/>
      <c r="N159" s="905"/>
      <c r="O159" s="905"/>
      <c r="P159" s="905"/>
      <c r="Q159" s="905"/>
      <c r="S159" s="121"/>
    </row>
    <row r="160" spans="1:19" ht="12.6" customHeight="1" x14ac:dyDescent="0.2">
      <c r="A160" s="120"/>
      <c r="C160" s="905"/>
      <c r="D160" s="905"/>
      <c r="E160" s="905"/>
      <c r="F160" s="905"/>
      <c r="G160" s="905"/>
      <c r="H160" s="905"/>
      <c r="I160" s="905"/>
      <c r="J160" s="905"/>
      <c r="K160" s="905"/>
      <c r="L160" s="905"/>
      <c r="M160" s="905"/>
      <c r="N160" s="905"/>
      <c r="O160" s="905"/>
      <c r="P160" s="905"/>
      <c r="Q160" s="905"/>
      <c r="S160" s="121"/>
    </row>
    <row r="161" spans="1:19" ht="12.6" customHeight="1" x14ac:dyDescent="0.2">
      <c r="A161" s="120"/>
      <c r="C161" s="905"/>
      <c r="D161" s="905"/>
      <c r="E161" s="905"/>
      <c r="F161" s="905"/>
      <c r="G161" s="905"/>
      <c r="H161" s="905"/>
      <c r="I161" s="905"/>
      <c r="J161" s="905"/>
      <c r="K161" s="905"/>
      <c r="L161" s="905"/>
      <c r="M161" s="905"/>
      <c r="N161" s="905"/>
      <c r="O161" s="905"/>
      <c r="P161" s="905"/>
      <c r="Q161" s="905"/>
      <c r="S161" s="121"/>
    </row>
    <row r="162" spans="1:19" ht="12.6" customHeight="1" x14ac:dyDescent="0.2">
      <c r="A162" s="120"/>
      <c r="C162" s="114"/>
      <c r="D162" s="114"/>
      <c r="E162" s="114"/>
      <c r="F162" s="114"/>
      <c r="G162" s="114"/>
      <c r="H162" s="114"/>
      <c r="I162" s="114"/>
      <c r="J162" s="114"/>
      <c r="K162" s="114"/>
      <c r="L162" s="114"/>
      <c r="M162" s="114"/>
      <c r="N162" s="114"/>
      <c r="O162" s="114"/>
      <c r="P162" s="114"/>
      <c r="Q162" s="114"/>
      <c r="S162" s="121"/>
    </row>
    <row r="163" spans="1:19" ht="12.6" customHeight="1" x14ac:dyDescent="0.2">
      <c r="A163" s="120"/>
      <c r="C163" s="64"/>
      <c r="D163" s="64"/>
      <c r="E163" s="64"/>
      <c r="F163" s="64"/>
      <c r="G163" s="64"/>
      <c r="H163" s="64"/>
      <c r="I163" s="64"/>
      <c r="J163" s="64"/>
      <c r="K163" s="64"/>
      <c r="L163" s="64"/>
      <c r="M163" s="64"/>
      <c r="N163" s="64"/>
      <c r="O163" s="64"/>
      <c r="P163" s="64"/>
      <c r="Q163" s="64"/>
      <c r="S163" s="121"/>
    </row>
    <row r="164" spans="1:19" ht="12.6" customHeight="1" thickBot="1" x14ac:dyDescent="0.25">
      <c r="A164" s="124"/>
      <c r="B164" s="125"/>
      <c r="C164" s="125"/>
      <c r="D164" s="125"/>
      <c r="E164" s="125"/>
      <c r="F164" s="125"/>
      <c r="G164" s="125"/>
      <c r="H164" s="125"/>
      <c r="I164" s="125"/>
      <c r="J164" s="125"/>
      <c r="K164" s="125"/>
      <c r="L164" s="125"/>
      <c r="M164" s="125"/>
      <c r="N164" s="125"/>
      <c r="O164" s="125"/>
      <c r="P164" s="125"/>
      <c r="Q164" s="125"/>
      <c r="R164" s="125"/>
      <c r="S164" s="126"/>
    </row>
    <row r="165" spans="1:19" ht="12.6" customHeight="1" thickTop="1" x14ac:dyDescent="0.25"/>
  </sheetData>
  <sheetProtection algorithmName="SHA-512" hashValue="6isckP3NbcZZsb6KD6GDIejs1TUbQpY/narfCqNgMvPiP2m5+zEwzOFt4cgoNMmRPG+Nvfh82qP6N7nPBi/AlQ==" saltValue="UebLjfRtzDS2eqMcXoBegw==" spinCount="100000" sheet="1" objects="1" scenarios="1" selectLockedCells="1"/>
  <mergeCells count="97">
    <mergeCell ref="C152:Q161"/>
    <mergeCell ref="C95:Q97"/>
    <mergeCell ref="C150:J150"/>
    <mergeCell ref="C143:Q148"/>
    <mergeCell ref="C87:Q88"/>
    <mergeCell ref="C138:J138"/>
    <mergeCell ref="C142:J142"/>
    <mergeCell ref="F139:G139"/>
    <mergeCell ref="J139:K139"/>
    <mergeCell ref="N139:O139"/>
    <mergeCell ref="C123:D128"/>
    <mergeCell ref="C109:Q110"/>
    <mergeCell ref="C113:J113"/>
    <mergeCell ref="C116:Q119"/>
    <mergeCell ref="C105:J105"/>
    <mergeCell ref="C122:J122"/>
    <mergeCell ref="C106:Q107"/>
    <mergeCell ref="C90:Q93"/>
    <mergeCell ref="C151:E151"/>
    <mergeCell ref="E101:F101"/>
    <mergeCell ref="G101:H101"/>
    <mergeCell ref="E102:F102"/>
    <mergeCell ref="E123:Q124"/>
    <mergeCell ref="G102:H102"/>
    <mergeCell ref="H2:L3"/>
    <mergeCell ref="C29:J29"/>
    <mergeCell ref="C55:J55"/>
    <mergeCell ref="C13:J13"/>
    <mergeCell ref="C49:Q52"/>
    <mergeCell ref="C56:Q58"/>
    <mergeCell ref="C19:J19"/>
    <mergeCell ref="F24:J24"/>
    <mergeCell ref="O26:P26"/>
    <mergeCell ref="M26:N26"/>
    <mergeCell ref="M25:N25"/>
    <mergeCell ref="K25:L26"/>
    <mergeCell ref="H26:I26"/>
    <mergeCell ref="H25:I25"/>
    <mergeCell ref="F26:G26"/>
    <mergeCell ref="F25:G25"/>
    <mergeCell ref="D7:Q8"/>
    <mergeCell ref="K39:L39"/>
    <mergeCell ref="D31:F31"/>
    <mergeCell ref="M31:O31"/>
    <mergeCell ref="J31:L31"/>
    <mergeCell ref="G31:I31"/>
    <mergeCell ref="C69:J69"/>
    <mergeCell ref="G83:H83"/>
    <mergeCell ref="I83:J83"/>
    <mergeCell ref="D9:Q10"/>
    <mergeCell ref="C24:E24"/>
    <mergeCell ref="K21:L21"/>
    <mergeCell ref="K20:L20"/>
    <mergeCell ref="M21:N21"/>
    <mergeCell ref="M20:N20"/>
    <mergeCell ref="I21:J21"/>
    <mergeCell ref="I20:J20"/>
    <mergeCell ref="G21:H21"/>
    <mergeCell ref="G20:H20"/>
    <mergeCell ref="E21:F21"/>
    <mergeCell ref="E20:F20"/>
    <mergeCell ref="C48:E48"/>
    <mergeCell ref="C14:Q15"/>
    <mergeCell ref="E16:I16"/>
    <mergeCell ref="J16:K16"/>
    <mergeCell ref="D25:E26"/>
    <mergeCell ref="C130:D135"/>
    <mergeCell ref="E84:F84"/>
    <mergeCell ref="C41:Q45"/>
    <mergeCell ref="C70:Q74"/>
    <mergeCell ref="C63:Q66"/>
    <mergeCell ref="C76:Q81"/>
    <mergeCell ref="I40:J40"/>
    <mergeCell ref="G40:H40"/>
    <mergeCell ref="E40:F40"/>
    <mergeCell ref="M84:N84"/>
    <mergeCell ref="M83:N83"/>
    <mergeCell ref="G84:H84"/>
    <mergeCell ref="I84:J84"/>
    <mergeCell ref="K84:L84"/>
    <mergeCell ref="K40:L40"/>
    <mergeCell ref="I102:J102"/>
    <mergeCell ref="I101:J101"/>
    <mergeCell ref="E83:F83"/>
    <mergeCell ref="K83:L83"/>
    <mergeCell ref="C62:J62"/>
    <mergeCell ref="C100:J100"/>
    <mergeCell ref="C32:Q35"/>
    <mergeCell ref="G30:I30"/>
    <mergeCell ref="J30:L30"/>
    <mergeCell ref="O25:P25"/>
    <mergeCell ref="M30:O30"/>
    <mergeCell ref="E39:F39"/>
    <mergeCell ref="G39:H39"/>
    <mergeCell ref="D30:F30"/>
    <mergeCell ref="C38:J38"/>
    <mergeCell ref="I39:J39"/>
  </mergeCells>
  <hyperlinks>
    <hyperlink ref="M19" location="Serviços!M45" display="◄" xr:uid="{1BD38D18-85E0-4D27-9AA8-82B63D1AF9E2}"/>
    <hyperlink ref="M24" location="Serviços!G71" display="◄" xr:uid="{4E5AF4A3-AD7A-4F3E-AE09-75190E659D97}"/>
    <hyperlink ref="M48" location="Serviços!M86" display="◄" xr:uid="{CB4C6521-2643-4C62-ADE7-DB406FBF46A0}"/>
    <hyperlink ref="M55" location="Serviços!M88" display="◄" xr:uid="{9898B3B9-FC67-4B88-A7D7-C68735C54248}"/>
    <hyperlink ref="M29" location="Serviços!K80" display="◄" xr:uid="{755D4E6A-A766-4EF8-A508-3BB323466DFC}"/>
    <hyperlink ref="M38" location="Serviços!K82" display="◄" xr:uid="{DCC491D3-375F-4262-B325-D62B162A4B25}"/>
    <hyperlink ref="M62" location="Serviços!M95" display="◄" xr:uid="{E82C560B-9FD5-498F-AEE1-BA7018687FFC}"/>
    <hyperlink ref="M69" location="Serviços!M109" display="◄" xr:uid="{9665D898-F4C5-4E1B-9424-05B03F265E2F}"/>
    <hyperlink ref="M105" location="Serviços!F132" display="◄" xr:uid="{C7DC4C42-0A86-4B05-8106-FD2357C62215}"/>
    <hyperlink ref="M113" location="Serviços!I138" display="◄" xr:uid="{E1CCF8CE-DB5A-4AF4-8689-1EC065163166}"/>
    <hyperlink ref="M122" location="Serviços!M142" display="◄" xr:uid="{FED4E016-C14D-4060-AA88-C2CE64384E8F}"/>
    <hyperlink ref="M138" location="Serviços!I144" display="◄" xr:uid="{2310E629-9E47-49CF-AC3D-F30DD9B17752}"/>
    <hyperlink ref="M142" location="Serviços!M148" display="◄" xr:uid="{22232A74-8DE6-4C52-8D24-829E1F599439}"/>
    <hyperlink ref="M150" location="Serviços!M150" display="◄" xr:uid="{EFEF628B-471A-4ED9-8771-4739714EFAA4}"/>
    <hyperlink ref="M100" location="Serviços!I123" display="◄" xr:uid="{C142D065-4689-44A4-B076-B8C1D6E27342}"/>
    <hyperlink ref="M13" location="Serviços!M30" display="◄" xr:uid="{053F94DE-C550-4F20-9D7D-531A4F5935A5}"/>
  </hyperlinks>
  <printOptions horizontalCentered="1" verticalCentered="1"/>
  <pageMargins left="0.19685039370078741" right="0.19685039370078741" top="0.39370078740157483" bottom="0.59055118110236227" header="0" footer="0"/>
  <pageSetup paperSize="9" orientation="portrait" r:id="rId1"/>
  <rowBreaks count="2" manualBreakCount="2">
    <brk id="60" max="18" man="1"/>
    <brk id="12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16E1-0C15-421D-9A5D-AC7AF24BBEDE}">
  <sheetPr>
    <tabColor theme="9" tint="0.59999389629810485"/>
  </sheetPr>
  <dimension ref="A1:U159"/>
  <sheetViews>
    <sheetView showGridLines="0" zoomScaleNormal="100" workbookViewId="0">
      <selection activeCell="H2" sqref="H2:I3"/>
    </sheetView>
  </sheetViews>
  <sheetFormatPr defaultColWidth="9.109375" defaultRowHeight="13.8" customHeight="1" x14ac:dyDescent="0.3"/>
  <cols>
    <col min="1" max="1" width="3.109375" style="22" customWidth="1"/>
    <col min="2" max="2" width="2.33203125" style="22" bestFit="1" customWidth="1"/>
    <col min="3" max="3" width="9.21875" style="22" customWidth="1"/>
    <col min="4" max="4" width="3.6640625" style="22" customWidth="1"/>
    <col min="5" max="5" width="4.21875" style="22" customWidth="1"/>
    <col min="6" max="6" width="8.109375" style="22" customWidth="1"/>
    <col min="7" max="7" width="8.44140625" style="22" customWidth="1"/>
    <col min="8" max="8" width="7.77734375" style="22" customWidth="1"/>
    <col min="9" max="9" width="6.6640625" style="22" customWidth="1"/>
    <col min="10" max="10" width="11" style="22" customWidth="1"/>
    <col min="11" max="11" width="5.21875" style="22" customWidth="1"/>
    <col min="12" max="12" width="6.109375" style="22" customWidth="1"/>
    <col min="13" max="13" width="13.21875" style="22" customWidth="1"/>
    <col min="14" max="14" width="11.109375" style="22" customWidth="1"/>
    <col min="15" max="15" width="2.33203125" style="22" customWidth="1"/>
    <col min="16" max="17" width="9.109375" style="22"/>
    <col min="18" max="18" width="9.109375" style="216"/>
    <col min="19" max="19" width="9.6640625" style="216" bestFit="1" customWidth="1"/>
    <col min="20" max="20" width="9.6640625" style="216" customWidth="1"/>
    <col min="21" max="21" width="10.88671875" style="455" customWidth="1"/>
    <col min="22" max="16384" width="9.109375" style="22"/>
  </cols>
  <sheetData>
    <row r="1" spans="1:21" ht="13.8" customHeight="1" thickTop="1" x14ac:dyDescent="0.3">
      <c r="A1" s="287"/>
      <c r="B1" s="288"/>
      <c r="C1" s="288"/>
      <c r="D1" s="288"/>
      <c r="E1" s="288"/>
      <c r="F1" s="288"/>
      <c r="G1" s="288"/>
      <c r="H1" s="289"/>
      <c r="I1" s="289"/>
      <c r="J1" s="289"/>
      <c r="K1" s="289"/>
      <c r="L1" s="289"/>
      <c r="M1" s="289"/>
      <c r="N1" s="288"/>
      <c r="O1" s="290"/>
    </row>
    <row r="2" spans="1:21" ht="13.8" customHeight="1" x14ac:dyDescent="0.45">
      <c r="A2" s="291"/>
      <c r="B2" s="330"/>
      <c r="C2" s="330"/>
      <c r="D2" s="330"/>
      <c r="E2" s="330"/>
      <c r="F2" s="330"/>
      <c r="G2" s="330"/>
      <c r="H2" s="950" t="s">
        <v>30</v>
      </c>
      <c r="I2" s="950"/>
      <c r="K2" s="330"/>
      <c r="L2" s="330"/>
      <c r="M2" s="330"/>
      <c r="N2" s="330"/>
      <c r="O2" s="292"/>
    </row>
    <row r="3" spans="1:21" ht="13.8" customHeight="1" x14ac:dyDescent="0.45">
      <c r="A3" s="291"/>
      <c r="B3" s="330"/>
      <c r="C3" s="330"/>
      <c r="D3" s="330"/>
      <c r="E3" s="330"/>
      <c r="F3" s="330"/>
      <c r="G3" s="330"/>
      <c r="H3" s="950"/>
      <c r="I3" s="950"/>
      <c r="K3" s="330"/>
      <c r="L3" s="788" t="s">
        <v>153</v>
      </c>
      <c r="M3" s="330"/>
      <c r="N3" s="330"/>
      <c r="O3" s="292"/>
    </row>
    <row r="4" spans="1:21" ht="13.8" customHeight="1" x14ac:dyDescent="0.3">
      <c r="A4" s="291"/>
      <c r="B4" s="331"/>
      <c r="C4" s="331"/>
      <c r="D4" s="332"/>
      <c r="E4" s="331"/>
      <c r="F4" s="331"/>
      <c r="G4" s="331"/>
      <c r="H4" s="331"/>
      <c r="I4" s="331"/>
      <c r="J4" s="331"/>
      <c r="K4" s="331"/>
      <c r="L4" s="331"/>
      <c r="M4" s="331"/>
      <c r="N4" s="331"/>
      <c r="O4" s="293"/>
    </row>
    <row r="5" spans="1:21" ht="13.8" customHeight="1" thickBot="1" x14ac:dyDescent="0.35">
      <c r="A5" s="345"/>
      <c r="B5" s="346"/>
      <c r="C5" s="346"/>
      <c r="D5" s="347"/>
      <c r="E5" s="346"/>
      <c r="F5" s="346"/>
      <c r="G5" s="346"/>
      <c r="H5" s="346"/>
      <c r="I5" s="346"/>
      <c r="J5" s="346"/>
      <c r="K5" s="346"/>
      <c r="L5" s="346"/>
      <c r="M5" s="346"/>
      <c r="N5" s="346"/>
      <c r="O5" s="348"/>
    </row>
    <row r="6" spans="1:21" ht="13.8" customHeight="1" x14ac:dyDescent="0.3">
      <c r="A6" s="291"/>
      <c r="N6" s="331"/>
      <c r="O6" s="293"/>
    </row>
    <row r="7" spans="1:21" ht="13.8" customHeight="1" x14ac:dyDescent="0.3">
      <c r="A7" s="291"/>
      <c r="B7" s="236" t="s">
        <v>504</v>
      </c>
      <c r="C7" s="217" t="str">
        <f>'S2'!$A$3</f>
        <v>A redução ou a eliminação de elementos que constituam a estrutura do stand, não implicam uma redução de custos.</v>
      </c>
      <c r="D7" s="217"/>
      <c r="E7" s="217"/>
      <c r="F7" s="217"/>
      <c r="G7" s="217"/>
      <c r="H7" s="217"/>
      <c r="I7" s="217"/>
      <c r="J7" s="217"/>
      <c r="K7" s="217"/>
      <c r="L7" s="217"/>
      <c r="M7" s="217"/>
      <c r="N7" s="217"/>
      <c r="O7" s="293"/>
    </row>
    <row r="8" spans="1:21" ht="13.8" customHeight="1" x14ac:dyDescent="0.3">
      <c r="A8" s="291"/>
      <c r="B8" s="236" t="s">
        <v>504</v>
      </c>
      <c r="C8" s="217" t="str">
        <f>'S2'!$A$8</f>
        <v>Todo o material utilizado no stand, é alugado, pelo que qualquer dano provocado, o expositor terá que assumir os custos.</v>
      </c>
      <c r="D8" s="217"/>
      <c r="E8" s="217"/>
      <c r="F8" s="217"/>
      <c r="G8" s="217"/>
      <c r="H8" s="217"/>
      <c r="I8" s="217"/>
      <c r="J8" s="217"/>
      <c r="K8" s="217"/>
      <c r="L8" s="217"/>
      <c r="M8" s="217"/>
      <c r="N8" s="217"/>
      <c r="O8" s="293"/>
    </row>
    <row r="9" spans="1:21" ht="13.8" customHeight="1" x14ac:dyDescent="0.3">
      <c r="A9" s="291"/>
      <c r="C9" s="333"/>
      <c r="E9" s="333"/>
      <c r="F9" s="333"/>
      <c r="G9" s="333"/>
      <c r="H9" s="333"/>
      <c r="I9" s="333"/>
      <c r="J9" s="333"/>
      <c r="K9" s="333"/>
      <c r="L9" s="333"/>
      <c r="M9" s="333"/>
      <c r="N9" s="331"/>
      <c r="O9" s="293"/>
    </row>
    <row r="10" spans="1:21" s="211" customFormat="1" ht="13.8" customHeight="1" x14ac:dyDescent="0.25">
      <c r="A10" s="285"/>
      <c r="B10" s="269"/>
      <c r="C10" s="273"/>
      <c r="D10" s="273"/>
      <c r="E10" s="273"/>
      <c r="F10" s="273"/>
      <c r="G10" s="952" t="str">
        <f>'T1'!$K$16</f>
        <v>Projecto Especial FIL</v>
      </c>
      <c r="H10" s="952"/>
      <c r="I10" s="952"/>
      <c r="J10" s="946" t="str">
        <f>'T1'!$K$21</f>
        <v>(Sob Orçamento)</v>
      </c>
      <c r="K10" s="946"/>
      <c r="L10" s="273"/>
      <c r="M10" s="273"/>
      <c r="N10" s="334"/>
      <c r="O10" s="286"/>
      <c r="R10" s="452"/>
      <c r="S10" s="452"/>
      <c r="T10" s="452"/>
      <c r="U10" s="456"/>
    </row>
    <row r="11" spans="1:21" ht="13.8" customHeight="1" x14ac:dyDescent="0.3">
      <c r="A11" s="291"/>
      <c r="C11" s="947" t="str">
        <f>'S2'!$A$13</f>
        <v>Soluções especificas para a sua participação, desde o projecto à realização.
De acordo com os objectivos que visa atingir com a sua presença no evento, a FIL projecta um stand à sua imagem e conforme os seus requisitos de marketing e orçamento. Indique o seu interesse nesta opção e será brevemente contactado pelos nossos serviços.</v>
      </c>
      <c r="D11" s="947"/>
      <c r="E11" s="947"/>
      <c r="F11" s="947"/>
      <c r="G11" s="947"/>
      <c r="H11" s="947"/>
      <c r="I11" s="947"/>
      <c r="J11" s="947"/>
      <c r="K11" s="947"/>
      <c r="L11" s="947"/>
      <c r="M11" s="947"/>
      <c r="N11" s="947"/>
      <c r="O11" s="293"/>
    </row>
    <row r="12" spans="1:21" ht="13.8" customHeight="1" x14ac:dyDescent="0.3">
      <c r="A12" s="291"/>
      <c r="C12" s="947"/>
      <c r="D12" s="947"/>
      <c r="E12" s="947"/>
      <c r="F12" s="947"/>
      <c r="G12" s="947"/>
      <c r="H12" s="947"/>
      <c r="I12" s="947"/>
      <c r="J12" s="947"/>
      <c r="K12" s="947"/>
      <c r="L12" s="947"/>
      <c r="M12" s="947"/>
      <c r="N12" s="947"/>
      <c r="O12" s="293"/>
    </row>
    <row r="13" spans="1:21" ht="13.8" customHeight="1" x14ac:dyDescent="0.3">
      <c r="A13" s="291"/>
      <c r="C13" s="947"/>
      <c r="D13" s="947"/>
      <c r="E13" s="947"/>
      <c r="F13" s="947"/>
      <c r="G13" s="947"/>
      <c r="H13" s="947"/>
      <c r="I13" s="947"/>
      <c r="J13" s="947"/>
      <c r="K13" s="947"/>
      <c r="L13" s="947"/>
      <c r="M13" s="947"/>
      <c r="N13" s="947"/>
      <c r="O13" s="293"/>
    </row>
    <row r="14" spans="1:21" ht="13.8" customHeight="1" x14ac:dyDescent="0.3">
      <c r="A14" s="291"/>
      <c r="C14" s="333"/>
      <c r="E14" s="333"/>
      <c r="F14" s="333"/>
      <c r="G14" s="333"/>
      <c r="H14" s="333"/>
      <c r="I14" s="333"/>
      <c r="J14" s="333"/>
      <c r="K14" s="333"/>
      <c r="L14" s="333"/>
      <c r="M14" s="333"/>
      <c r="N14" s="331"/>
      <c r="O14" s="293"/>
    </row>
    <row r="15" spans="1:21" ht="15.6" x14ac:dyDescent="0.3">
      <c r="A15" s="291"/>
      <c r="C15" s="333"/>
      <c r="E15" s="948" t="str">
        <f>'S1'!$I$46</f>
        <v>ATENÇÃO as medidas são: Largura x Altura</v>
      </c>
      <c r="F15" s="948"/>
      <c r="G15" s="948"/>
      <c r="H15" s="948"/>
      <c r="I15" s="948"/>
      <c r="J15" s="948"/>
      <c r="K15" s="948"/>
      <c r="L15" s="948"/>
      <c r="M15" s="333"/>
      <c r="N15" s="331"/>
      <c r="O15" s="293"/>
    </row>
    <row r="16" spans="1:21" ht="13.8" customHeight="1" x14ac:dyDescent="0.3">
      <c r="A16" s="291"/>
      <c r="C16" s="333"/>
      <c r="E16" s="333"/>
      <c r="F16" s="333"/>
      <c r="G16" s="333"/>
      <c r="H16" s="333"/>
      <c r="I16" s="333"/>
      <c r="J16" s="333"/>
      <c r="K16" s="333"/>
      <c r="L16" s="333"/>
      <c r="M16" s="333"/>
      <c r="N16" s="331"/>
      <c r="O16" s="293"/>
    </row>
    <row r="17" spans="1:21" s="319" customFormat="1" ht="13.8" customHeight="1" x14ac:dyDescent="0.25">
      <c r="A17" s="317"/>
      <c r="B17" s="949" t="s">
        <v>158</v>
      </c>
      <c r="C17" s="949"/>
      <c r="D17" s="949"/>
      <c r="E17" s="949"/>
      <c r="F17" s="273"/>
      <c r="G17" s="273"/>
      <c r="H17" s="273"/>
      <c r="I17" s="281">
        <f>Serviços!$AA$6</f>
        <v>32.97</v>
      </c>
      <c r="J17" s="328" t="s">
        <v>731</v>
      </c>
      <c r="K17" s="273"/>
      <c r="L17" s="273"/>
      <c r="M17" s="273"/>
      <c r="N17" s="273"/>
      <c r="O17" s="318"/>
      <c r="R17" s="453"/>
      <c r="S17" s="453"/>
      <c r="T17" s="453"/>
      <c r="U17" s="454"/>
    </row>
    <row r="18" spans="1:21" ht="13.8" customHeight="1" x14ac:dyDescent="0.3">
      <c r="A18" s="294"/>
      <c r="B18" s="222" t="s">
        <v>504</v>
      </c>
      <c r="C18" s="299" t="str">
        <f>'S1'!$A$4</f>
        <v>Estrutura:</v>
      </c>
      <c r="D18" s="327"/>
      <c r="E18" s="299"/>
      <c r="F18" s="298" t="str">
        <f>'S1'!$E$1</f>
        <v>Paredes em painéis laminados a branco</v>
      </c>
      <c r="G18" s="298"/>
      <c r="H18" s="298"/>
      <c r="I18" s="298"/>
      <c r="J18" s="236" t="s">
        <v>822</v>
      </c>
      <c r="K18" s="22" t="str">
        <f>'S1'!$A$39</f>
        <v>altura)</v>
      </c>
      <c r="L18" s="298"/>
      <c r="O18" s="295"/>
    </row>
    <row r="19" spans="1:21" ht="13.8" customHeight="1" x14ac:dyDescent="0.3">
      <c r="A19" s="294"/>
      <c r="B19" s="301" t="s">
        <v>504</v>
      </c>
      <c r="C19" s="303" t="str">
        <f>'S1'!$A$9</f>
        <v>Pavimento:</v>
      </c>
      <c r="D19" s="303"/>
      <c r="E19" s="303"/>
      <c r="F19" s="303" t="str">
        <f>'S1'!$A$29</f>
        <v>Alcatifa cor Cinza</v>
      </c>
      <c r="G19" s="303"/>
      <c r="H19" s="303"/>
      <c r="I19" s="303"/>
      <c r="J19" s="303"/>
      <c r="K19" s="303"/>
      <c r="L19" s="303"/>
      <c r="O19" s="295"/>
    </row>
    <row r="20" spans="1:21" ht="13.8" customHeight="1" x14ac:dyDescent="0.3">
      <c r="A20" s="294"/>
      <c r="B20" s="224" t="s">
        <v>504</v>
      </c>
      <c r="C20" s="296" t="str">
        <f>'S1'!$A$14</f>
        <v>Electricidade:</v>
      </c>
      <c r="D20" s="323">
        <v>1</v>
      </c>
      <c r="E20" s="296" t="str">
        <f>'S1'!$A$34</f>
        <v>unid.</v>
      </c>
      <c r="F20" s="297" t="str">
        <f>'S1'!$E$26</f>
        <v>Quadro Eléctrico Monofásico com Tomada Tripla</v>
      </c>
      <c r="G20" s="297"/>
      <c r="H20" s="219"/>
      <c r="I20" s="219"/>
      <c r="J20" s="219"/>
      <c r="K20" s="219"/>
      <c r="L20" s="219"/>
      <c r="O20" s="295"/>
    </row>
    <row r="21" spans="1:21" ht="13.8" customHeight="1" x14ac:dyDescent="0.3">
      <c r="A21" s="294"/>
      <c r="B21" s="298"/>
      <c r="C21" s="298"/>
      <c r="D21" s="326">
        <v>1</v>
      </c>
      <c r="E21" s="299" t="str">
        <f>'S1'!$A$34</f>
        <v>unid.</v>
      </c>
      <c r="F21" s="298" t="str">
        <f>'S1'!$C$21</f>
        <v>Régua de Projectores por cada 9 m2</v>
      </c>
      <c r="G21" s="298"/>
      <c r="H21" s="298"/>
      <c r="I21" s="298"/>
      <c r="J21" s="298"/>
      <c r="K21" s="221"/>
      <c r="L21" s="298"/>
      <c r="O21" s="295"/>
    </row>
    <row r="22" spans="1:21" ht="13.8" customHeight="1" x14ac:dyDescent="0.3">
      <c r="A22" s="294"/>
      <c r="B22" s="224" t="s">
        <v>504</v>
      </c>
      <c r="C22" s="296" t="str">
        <f>'S1'!$A$19</f>
        <v>Mobiliário:</v>
      </c>
      <c r="D22" s="953" t="str">
        <f>'S1'!$C$1</f>
        <v xml:space="preserve">Até 18 m2: </v>
      </c>
      <c r="E22" s="953"/>
      <c r="F22" s="338">
        <v>1</v>
      </c>
      <c r="G22" s="219" t="str">
        <f>'S1'!$C$6</f>
        <v>Mesa(s)</v>
      </c>
      <c r="H22" s="338">
        <v>2</v>
      </c>
      <c r="I22" s="219" t="str">
        <f>'S1'!$C$11</f>
        <v>Cadeiras</v>
      </c>
      <c r="J22" s="219"/>
      <c r="K22" s="219"/>
      <c r="L22" s="219"/>
      <c r="O22" s="295"/>
    </row>
    <row r="23" spans="1:21" ht="13.8" customHeight="1" x14ac:dyDescent="0.3">
      <c r="A23" s="294"/>
      <c r="D23" s="955" t="s">
        <v>505</v>
      </c>
      <c r="E23" s="955"/>
      <c r="F23" s="339">
        <v>1</v>
      </c>
      <c r="G23" s="22" t="str">
        <f>'S1'!$C$6</f>
        <v>Mesa(s)</v>
      </c>
      <c r="H23" s="339">
        <v>4</v>
      </c>
      <c r="I23" s="22" t="str">
        <f>'S1'!$C$11</f>
        <v>Cadeiras</v>
      </c>
      <c r="O23" s="295"/>
    </row>
    <row r="24" spans="1:21" ht="13.8" customHeight="1" x14ac:dyDescent="0.3">
      <c r="A24" s="294"/>
      <c r="D24" s="955" t="s">
        <v>506</v>
      </c>
      <c r="E24" s="955"/>
      <c r="F24" s="339">
        <v>2</v>
      </c>
      <c r="G24" s="22" t="str">
        <f>'S1'!$C$6</f>
        <v>Mesa(s)</v>
      </c>
      <c r="H24" s="339">
        <v>8</v>
      </c>
      <c r="I24" s="22" t="str">
        <f>'S1'!$C$11</f>
        <v>Cadeiras</v>
      </c>
      <c r="O24" s="295"/>
    </row>
    <row r="25" spans="1:21" ht="13.8" customHeight="1" x14ac:dyDescent="0.3">
      <c r="A25" s="294"/>
      <c r="B25" s="298"/>
      <c r="C25" s="298"/>
      <c r="D25" s="298" t="str">
        <f>'S1'!$C$16</f>
        <v>Mais de 36 m2:  a analisar</v>
      </c>
      <c r="E25" s="298"/>
      <c r="F25" s="298"/>
      <c r="G25" s="298"/>
      <c r="H25" s="298"/>
      <c r="I25" s="298"/>
      <c r="J25" s="298"/>
      <c r="K25" s="298"/>
      <c r="L25" s="298"/>
      <c r="O25" s="295"/>
    </row>
    <row r="26" spans="1:21" ht="13.8" customHeight="1" x14ac:dyDescent="0.3">
      <c r="A26" s="294"/>
      <c r="B26" s="301" t="s">
        <v>504</v>
      </c>
      <c r="C26" s="302" t="str">
        <f>'S1'!$A$24</f>
        <v>Grafismo:</v>
      </c>
      <c r="D26" s="303" t="str">
        <f>'S1'!$I$1</f>
        <v>Lettering - nome a figurar no Stand</v>
      </c>
      <c r="E26" s="302"/>
      <c r="F26" s="303"/>
      <c r="G26" s="303"/>
      <c r="H26" s="303"/>
      <c r="I26" s="303"/>
      <c r="J26" s="303"/>
      <c r="K26" s="272" t="s">
        <v>978</v>
      </c>
      <c r="L26" s="303"/>
      <c r="O26" s="295"/>
    </row>
    <row r="27" spans="1:21" ht="13.8" customHeight="1" x14ac:dyDescent="0.3">
      <c r="A27" s="294"/>
      <c r="B27" s="236"/>
      <c r="C27" s="306"/>
      <c r="D27" s="324"/>
      <c r="E27" s="306"/>
      <c r="O27" s="295"/>
    </row>
    <row r="28" spans="1:21" s="319" customFormat="1" ht="13.8" customHeight="1" x14ac:dyDescent="0.25">
      <c r="A28" s="317"/>
      <c r="B28" s="956" t="str">
        <f>'T1'!$O$31</f>
        <v>REQUINTE sem Tela</v>
      </c>
      <c r="C28" s="956"/>
      <c r="D28" s="956"/>
      <c r="E28" s="956"/>
      <c r="F28" s="362" t="s">
        <v>723</v>
      </c>
      <c r="G28" s="363" t="s">
        <v>906</v>
      </c>
      <c r="H28" s="273"/>
      <c r="I28" s="281">
        <f>Serviços!$AA$26</f>
        <v>82.69</v>
      </c>
      <c r="J28" s="328" t="s">
        <v>731</v>
      </c>
      <c r="K28" s="269" t="str">
        <f>'S1'!$E$36</f>
        <v>(Aplicável em espaços com  1 / 2 / 3 frentes)</v>
      </c>
      <c r="L28" s="273"/>
      <c r="M28" s="273"/>
      <c r="N28" s="273"/>
      <c r="O28" s="318"/>
      <c r="R28" s="453"/>
      <c r="S28" s="453"/>
      <c r="T28" s="453"/>
      <c r="U28" s="454"/>
    </row>
    <row r="29" spans="1:21" s="319" customFormat="1" ht="13.8" customHeight="1" x14ac:dyDescent="0.25">
      <c r="A29" s="317"/>
      <c r="B29" s="956" t="str">
        <f>'T1'!$O$36</f>
        <v>REQUINTE com Tela</v>
      </c>
      <c r="C29" s="956"/>
      <c r="D29" s="956"/>
      <c r="E29" s="956"/>
      <c r="F29" s="362" t="s">
        <v>723</v>
      </c>
      <c r="G29" s="363" t="s">
        <v>906</v>
      </c>
      <c r="H29" s="273"/>
      <c r="I29" s="281">
        <f>Serviços!$AA$28</f>
        <v>92.46</v>
      </c>
      <c r="J29" s="328" t="s">
        <v>731</v>
      </c>
      <c r="K29" s="269" t="str">
        <f>'S1'!$E$41</f>
        <v>(Aplicável em espaços com  2 / 3 frentes)</v>
      </c>
      <c r="L29" s="273"/>
      <c r="M29" s="273"/>
      <c r="N29" s="273"/>
      <c r="O29" s="318"/>
      <c r="R29" s="453"/>
      <c r="S29" s="453"/>
      <c r="T29" s="453"/>
      <c r="U29" s="454"/>
    </row>
    <row r="30" spans="1:21" ht="13.8" customHeight="1" x14ac:dyDescent="0.3">
      <c r="A30" s="294"/>
      <c r="B30" s="236" t="s">
        <v>504</v>
      </c>
      <c r="C30" s="306" t="str">
        <f>'S1'!$A$4</f>
        <v>Estrutura:</v>
      </c>
      <c r="D30" s="324"/>
      <c r="E30" s="306"/>
      <c r="F30" s="22" t="str">
        <f>'S1'!$E$11</f>
        <v>Estrutura cubo em aglomerado de madeira</v>
      </c>
      <c r="J30" s="236" t="s">
        <v>568</v>
      </c>
      <c r="K30" s="22" t="str">
        <f>'S1'!$A$39</f>
        <v>altura)</v>
      </c>
      <c r="O30" s="295"/>
    </row>
    <row r="31" spans="1:21" ht="13.8" customHeight="1" x14ac:dyDescent="0.3">
      <c r="A31" s="294"/>
      <c r="B31" s="298"/>
      <c r="C31" s="298"/>
      <c r="D31" s="220">
        <v>1</v>
      </c>
      <c r="E31" s="299" t="str">
        <f>'S1'!$A$34</f>
        <v>unid.</v>
      </c>
      <c r="F31" s="298" t="str">
        <f>'S1'!$I$26</f>
        <v>Gabinete com porta em MDF pintado a branco</v>
      </c>
      <c r="G31" s="304"/>
      <c r="H31" s="298"/>
      <c r="I31" s="298"/>
      <c r="J31" s="298" t="s">
        <v>507</v>
      </c>
      <c r="M31" s="958" t="str">
        <f>'T1'!$O$31</f>
        <v>REQUINTE sem Tela</v>
      </c>
      <c r="N31" s="958"/>
      <c r="O31" s="295"/>
    </row>
    <row r="32" spans="1:21" ht="13.8" customHeight="1" x14ac:dyDescent="0.3">
      <c r="A32" s="294"/>
      <c r="B32" s="224" t="s">
        <v>504</v>
      </c>
      <c r="C32" s="219" t="str">
        <f>'S1'!$A$9</f>
        <v>Pavimento:</v>
      </c>
      <c r="D32" s="322">
        <v>18</v>
      </c>
      <c r="E32" s="219" t="s">
        <v>9</v>
      </c>
      <c r="F32" s="219" t="str">
        <f>'S1'!$A$29</f>
        <v>Alcatifa cor Cinza</v>
      </c>
      <c r="G32" s="219"/>
      <c r="H32" s="219"/>
      <c r="I32" s="219"/>
      <c r="J32" s="219"/>
      <c r="K32" s="219"/>
      <c r="L32" s="219"/>
      <c r="O32" s="295"/>
    </row>
    <row r="33" spans="1:21" ht="13.8" customHeight="1" x14ac:dyDescent="0.3">
      <c r="A33" s="294"/>
      <c r="B33" s="222"/>
      <c r="C33" s="298"/>
      <c r="D33" s="220">
        <v>9</v>
      </c>
      <c r="E33" s="298" t="s">
        <v>9</v>
      </c>
      <c r="F33" s="298" t="str">
        <f>'S1'!$G$31</f>
        <v>Estrado 0,10m Alcatifado</v>
      </c>
      <c r="G33" s="298"/>
      <c r="H33" s="298"/>
      <c r="I33" s="298"/>
      <c r="J33" s="298"/>
      <c r="K33" s="298"/>
      <c r="L33" s="298"/>
      <c r="O33" s="295"/>
    </row>
    <row r="34" spans="1:21" ht="13.8" customHeight="1" x14ac:dyDescent="0.3">
      <c r="A34" s="294"/>
      <c r="B34" s="224" t="s">
        <v>504</v>
      </c>
      <c r="C34" s="296" t="str">
        <f>'S1'!$A$14</f>
        <v>Electricidade:</v>
      </c>
      <c r="D34" s="323">
        <v>1</v>
      </c>
      <c r="E34" s="296" t="str">
        <f>'S1'!$A$34</f>
        <v>unid.</v>
      </c>
      <c r="F34" s="297" t="str">
        <f>'S1'!$E$26</f>
        <v>Quadro Eléctrico Monofásico com Tomada Tripla</v>
      </c>
      <c r="G34" s="297"/>
      <c r="H34" s="219"/>
      <c r="I34" s="219"/>
      <c r="J34" s="219"/>
      <c r="K34" s="219"/>
      <c r="L34" s="219"/>
      <c r="O34" s="295"/>
    </row>
    <row r="35" spans="1:21" ht="13.8" customHeight="1" x14ac:dyDescent="0.3">
      <c r="A35" s="294"/>
      <c r="B35" s="222"/>
      <c r="C35" s="298"/>
      <c r="D35" s="220">
        <v>2</v>
      </c>
      <c r="E35" s="299" t="str">
        <f>'S1'!$A$34</f>
        <v>unid.</v>
      </c>
      <c r="F35" s="304" t="str">
        <f>'S1'!$C$31</f>
        <v>Projectores de Led</v>
      </c>
      <c r="G35" s="304"/>
      <c r="H35" s="298"/>
      <c r="I35" s="298"/>
      <c r="J35" s="298"/>
      <c r="K35" s="298"/>
      <c r="L35" s="298"/>
      <c r="O35" s="295"/>
    </row>
    <row r="36" spans="1:21" ht="13.8" customHeight="1" x14ac:dyDescent="0.3">
      <c r="A36" s="294"/>
      <c r="B36" s="224" t="s">
        <v>504</v>
      </c>
      <c r="C36" s="296" t="str">
        <f>'S1'!$A$19</f>
        <v>Mobiliário:</v>
      </c>
      <c r="D36" s="323">
        <v>1</v>
      </c>
      <c r="E36" s="296" t="str">
        <f>'S1'!$A$34</f>
        <v>unid.</v>
      </c>
      <c r="F36" s="297" t="str">
        <f>'S1'!$C$6</f>
        <v>Mesa(s)</v>
      </c>
      <c r="G36" s="297"/>
      <c r="H36" s="219"/>
      <c r="I36" s="219"/>
      <c r="J36" s="219"/>
      <c r="K36" s="219"/>
      <c r="L36" s="219"/>
      <c r="M36" s="958" t="str">
        <f>'T1'!$O$36</f>
        <v>REQUINTE com Tela</v>
      </c>
      <c r="N36" s="958"/>
      <c r="O36" s="295"/>
    </row>
    <row r="37" spans="1:21" ht="13.8" customHeight="1" x14ac:dyDescent="0.3">
      <c r="A37" s="294"/>
      <c r="B37" s="222"/>
      <c r="C37" s="299"/>
      <c r="D37" s="220">
        <v>3</v>
      </c>
      <c r="E37" s="299" t="str">
        <f>'S1'!$A$34</f>
        <v>unid.</v>
      </c>
      <c r="F37" s="298" t="str">
        <f>'S1'!$C$11</f>
        <v>Cadeiras</v>
      </c>
      <c r="G37" s="304"/>
      <c r="H37" s="305"/>
      <c r="I37" s="298"/>
      <c r="J37" s="298"/>
      <c r="K37" s="298"/>
      <c r="L37" s="298"/>
      <c r="N37" s="450"/>
      <c r="O37" s="295"/>
      <c r="P37" s="450"/>
    </row>
    <row r="38" spans="1:21" ht="13.8" customHeight="1" x14ac:dyDescent="0.3">
      <c r="A38" s="294"/>
      <c r="B38" s="236" t="s">
        <v>504</v>
      </c>
      <c r="C38" s="306" t="str">
        <f>'S1'!$A$24</f>
        <v>Grafismo:</v>
      </c>
      <c r="D38" s="321">
        <v>1</v>
      </c>
      <c r="E38" s="306" t="str">
        <f>'S1'!$A$34</f>
        <v>unid.</v>
      </c>
      <c r="F38" s="219" t="str">
        <f>'S1'!$G$1</f>
        <v>Lona fixa ao modulo com imagem num só lado</v>
      </c>
      <c r="G38" s="310"/>
      <c r="J38" s="339" t="str">
        <f>'T1'!$O$36</f>
        <v>REQUINTE com Tela</v>
      </c>
      <c r="K38" s="217"/>
      <c r="L38" s="217" t="s">
        <v>508</v>
      </c>
      <c r="O38" s="295"/>
    </row>
    <row r="39" spans="1:21" ht="13.8" customHeight="1" x14ac:dyDescent="0.3">
      <c r="A39" s="294"/>
      <c r="B39" s="236"/>
      <c r="C39" s="306"/>
      <c r="D39" s="321">
        <v>1</v>
      </c>
      <c r="E39" s="306" t="str">
        <f>'S1'!$A$34</f>
        <v>unid.</v>
      </c>
      <c r="F39" s="22" t="str">
        <f>'S1'!$G$11</f>
        <v>Fotografia (parede de fundo junto ao gabinete)</v>
      </c>
      <c r="G39" s="310"/>
      <c r="L39" s="217" t="s">
        <v>509</v>
      </c>
      <c r="O39" s="295"/>
    </row>
    <row r="40" spans="1:21" ht="13.8" customHeight="1" x14ac:dyDescent="0.3">
      <c r="A40" s="294"/>
      <c r="B40" s="298"/>
      <c r="C40" s="298"/>
      <c r="D40" s="220">
        <v>1</v>
      </c>
      <c r="E40" s="299" t="str">
        <f>'S1'!$A$34</f>
        <v>unid.</v>
      </c>
      <c r="F40" s="298" t="str">
        <f>'S1'!$I$1</f>
        <v>Lettering - nome a figurar no Stand</v>
      </c>
      <c r="G40" s="304"/>
      <c r="H40" s="298"/>
      <c r="I40" s="298"/>
      <c r="J40" s="222" t="s">
        <v>510</v>
      </c>
      <c r="K40" s="298" t="str">
        <f>'S1'!$A$44</f>
        <v>comprimento)</v>
      </c>
      <c r="O40" s="295"/>
    </row>
    <row r="41" spans="1:21" ht="13.8" customHeight="1" x14ac:dyDescent="0.3">
      <c r="A41" s="294"/>
      <c r="O41" s="295"/>
    </row>
    <row r="42" spans="1:21" s="319" customFormat="1" ht="13.8" customHeight="1" x14ac:dyDescent="0.25">
      <c r="A42" s="317"/>
      <c r="B42" s="949" t="str">
        <f>'T1'!$O$21</f>
        <v>REQUINTE sem Torre</v>
      </c>
      <c r="C42" s="949"/>
      <c r="D42" s="949"/>
      <c r="E42" s="949"/>
      <c r="F42" s="362" t="s">
        <v>724</v>
      </c>
      <c r="G42" s="269" t="s">
        <v>907</v>
      </c>
      <c r="H42" s="273"/>
      <c r="I42" s="281">
        <f>Serviços!$AA$30</f>
        <v>77.61</v>
      </c>
      <c r="J42" s="328" t="s">
        <v>731</v>
      </c>
      <c r="K42" s="269" t="str">
        <f>'S1'!$E$41</f>
        <v>(Aplicável em espaços com  2 / 3 frentes)</v>
      </c>
      <c r="L42" s="273"/>
      <c r="M42" s="273"/>
      <c r="N42" s="273"/>
      <c r="O42" s="318"/>
      <c r="R42" s="453"/>
      <c r="S42" s="453"/>
      <c r="T42" s="453"/>
      <c r="U42" s="454"/>
    </row>
    <row r="43" spans="1:21" s="319" customFormat="1" ht="13.8" customHeight="1" x14ac:dyDescent="0.25">
      <c r="A43" s="317"/>
      <c r="B43" s="949" t="str">
        <f>'T1'!$O$26</f>
        <v>REQUINTE com Torre</v>
      </c>
      <c r="C43" s="949"/>
      <c r="D43" s="949"/>
      <c r="E43" s="949"/>
      <c r="F43" s="362" t="s">
        <v>724</v>
      </c>
      <c r="G43" s="269" t="s">
        <v>907</v>
      </c>
      <c r="H43" s="273"/>
      <c r="I43" s="281">
        <f>Serviços!$AA$32</f>
        <v>132.55000000000001</v>
      </c>
      <c r="J43" s="328" t="s">
        <v>731</v>
      </c>
      <c r="K43" s="269" t="str">
        <f>'S1'!$E$46</f>
        <v>(Aplicável em espaços com 4 frentes)</v>
      </c>
      <c r="L43" s="273"/>
      <c r="M43" s="273"/>
      <c r="N43" s="273"/>
      <c r="O43" s="318"/>
      <c r="R43" s="453"/>
      <c r="S43" s="453"/>
      <c r="T43" s="453"/>
      <c r="U43" s="454"/>
    </row>
    <row r="44" spans="1:21" ht="13.8" customHeight="1" x14ac:dyDescent="0.3">
      <c r="A44" s="294"/>
      <c r="B44" s="236" t="s">
        <v>504</v>
      </c>
      <c r="C44" s="306" t="str">
        <f>'S1'!$A$4</f>
        <v>Estrutura:</v>
      </c>
      <c r="D44" s="325"/>
      <c r="E44" s="306"/>
      <c r="F44" s="22" t="str">
        <f>'S1'!$E$11</f>
        <v>Estrutura cubo em aglomerado de madeira</v>
      </c>
      <c r="J44" s="236" t="s">
        <v>568</v>
      </c>
      <c r="K44" s="22" t="str">
        <f>'S1'!$A$39</f>
        <v>altura)</v>
      </c>
      <c r="O44" s="295"/>
    </row>
    <row r="45" spans="1:21" ht="13.8" customHeight="1" x14ac:dyDescent="0.3">
      <c r="A45" s="294"/>
      <c r="D45" s="321">
        <v>1</v>
      </c>
      <c r="E45" s="306" t="str">
        <f>'S1'!$A$34</f>
        <v>unid.</v>
      </c>
      <c r="F45" s="22" t="str">
        <f>'S1'!$I$26</f>
        <v>Gabinete com porta em MDF pintado a branco</v>
      </c>
      <c r="G45" s="310"/>
      <c r="J45" s="339" t="str">
        <f>'T1'!$O$21</f>
        <v>REQUINTE sem Torre</v>
      </c>
      <c r="L45" s="22" t="s">
        <v>507</v>
      </c>
      <c r="O45" s="295"/>
    </row>
    <row r="46" spans="1:21" ht="13.8" customHeight="1" x14ac:dyDescent="0.3">
      <c r="A46" s="294"/>
      <c r="D46" s="321">
        <v>1</v>
      </c>
      <c r="E46" s="306" t="str">
        <f>'S1'!$A$34</f>
        <v>unid.</v>
      </c>
      <c r="F46" s="22" t="str">
        <f>'S1'!$I$26</f>
        <v>Gabinete com porta em MDF pintado a branco</v>
      </c>
      <c r="G46" s="310"/>
      <c r="J46" s="339" t="str">
        <f>'T1'!$O$26</f>
        <v>REQUINTE com Torre</v>
      </c>
      <c r="L46" s="298" t="s">
        <v>713</v>
      </c>
      <c r="O46" s="295"/>
    </row>
    <row r="47" spans="1:21" ht="13.8" customHeight="1" x14ac:dyDescent="0.3">
      <c r="A47" s="294"/>
      <c r="B47" s="224" t="s">
        <v>504</v>
      </c>
      <c r="C47" s="219" t="str">
        <f>'S1'!$A$9</f>
        <v>Pavimento:</v>
      </c>
      <c r="D47" s="322">
        <v>27</v>
      </c>
      <c r="E47" s="219" t="s">
        <v>9</v>
      </c>
      <c r="F47" s="219" t="str">
        <f>'S1'!$A$29</f>
        <v>Alcatifa cor Cinza</v>
      </c>
      <c r="G47" s="307"/>
      <c r="H47" s="219"/>
      <c r="I47" s="219"/>
      <c r="J47" s="219"/>
      <c r="K47" s="219"/>
      <c r="L47" s="219"/>
      <c r="M47" s="957" t="str">
        <f>'T1'!$O$21</f>
        <v>REQUINTE sem Torre</v>
      </c>
      <c r="N47" s="957"/>
      <c r="O47" s="295"/>
    </row>
    <row r="48" spans="1:21" ht="13.8" customHeight="1" x14ac:dyDescent="0.3">
      <c r="A48" s="294"/>
      <c r="B48" s="222"/>
      <c r="C48" s="298"/>
      <c r="D48" s="220">
        <v>9</v>
      </c>
      <c r="E48" s="298" t="s">
        <v>9</v>
      </c>
      <c r="F48" s="298" t="str">
        <f>'S1'!$G$31</f>
        <v>Estrado 0,10m Alcatifado</v>
      </c>
      <c r="G48" s="298"/>
      <c r="H48" s="298"/>
      <c r="I48" s="298"/>
      <c r="J48" s="298"/>
      <c r="K48" s="298"/>
      <c r="L48" s="298"/>
      <c r="O48" s="295"/>
    </row>
    <row r="49" spans="1:21" ht="13.8" customHeight="1" x14ac:dyDescent="0.3">
      <c r="A49" s="294"/>
      <c r="B49" s="224" t="s">
        <v>504</v>
      </c>
      <c r="C49" s="296" t="str">
        <f>'S1'!$A$14</f>
        <v>Electricidade:</v>
      </c>
      <c r="D49" s="323">
        <v>1</v>
      </c>
      <c r="E49" s="296" t="str">
        <f>'S1'!$A$34</f>
        <v>unid.</v>
      </c>
      <c r="F49" s="297" t="str">
        <f>'S1'!$E$26</f>
        <v>Quadro Eléctrico Monofásico com Tomada Tripla</v>
      </c>
      <c r="G49" s="297"/>
      <c r="H49" s="219"/>
      <c r="I49" s="219"/>
      <c r="J49" s="219"/>
      <c r="K49" s="219"/>
      <c r="L49" s="219"/>
      <c r="O49" s="295"/>
    </row>
    <row r="50" spans="1:21" ht="13.8" customHeight="1" x14ac:dyDescent="0.3">
      <c r="A50" s="294"/>
      <c r="B50" s="236"/>
      <c r="C50" s="306"/>
      <c r="D50" s="335">
        <v>3</v>
      </c>
      <c r="E50" s="306" t="str">
        <f>'S1'!$A$34</f>
        <v>unid.</v>
      </c>
      <c r="F50" s="310" t="str">
        <f>'S1'!$C$31</f>
        <v>Projectores de Led</v>
      </c>
      <c r="G50" s="310"/>
      <c r="J50" s="339" t="str">
        <f>'T1'!$O$21</f>
        <v>REQUINTE sem Torre</v>
      </c>
      <c r="O50" s="295"/>
    </row>
    <row r="51" spans="1:21" ht="13.8" customHeight="1" x14ac:dyDescent="0.3">
      <c r="A51" s="294"/>
      <c r="B51" s="236"/>
      <c r="C51" s="306"/>
      <c r="D51" s="220">
        <v>7</v>
      </c>
      <c r="E51" s="299" t="str">
        <f>'S1'!$A$34</f>
        <v>unid.</v>
      </c>
      <c r="F51" s="304" t="str">
        <f>'S1'!$C$31</f>
        <v>Projectores de Led</v>
      </c>
      <c r="G51" s="310"/>
      <c r="J51" s="339" t="str">
        <f>'T1'!$O$26</f>
        <v>REQUINTE com Torre</v>
      </c>
      <c r="O51" s="295"/>
    </row>
    <row r="52" spans="1:21" ht="13.8" customHeight="1" x14ac:dyDescent="0.3">
      <c r="A52" s="294"/>
      <c r="B52" s="224" t="s">
        <v>504</v>
      </c>
      <c r="C52" s="296" t="str">
        <f>'S1'!$A$19</f>
        <v>Mobiliário:</v>
      </c>
      <c r="D52" s="323">
        <v>1</v>
      </c>
      <c r="E52" s="296" t="str">
        <f>'S1'!$A$34</f>
        <v>unid.</v>
      </c>
      <c r="F52" s="219" t="str">
        <f>'S1'!$C$6</f>
        <v>Mesa(s)</v>
      </c>
      <c r="G52" s="219"/>
      <c r="H52" s="300"/>
      <c r="I52" s="219"/>
      <c r="J52" s="219"/>
      <c r="K52" s="219"/>
      <c r="L52" s="219"/>
      <c r="O52" s="295"/>
    </row>
    <row r="53" spans="1:21" ht="13.8" customHeight="1" x14ac:dyDescent="0.3">
      <c r="A53" s="294"/>
      <c r="B53" s="236"/>
      <c r="C53" s="306"/>
      <c r="D53" s="335">
        <v>3</v>
      </c>
      <c r="E53" s="306" t="str">
        <f>'S1'!$A$34</f>
        <v>unid.</v>
      </c>
      <c r="F53" s="22" t="str">
        <f>'S1'!$C$11</f>
        <v>Cadeiras</v>
      </c>
      <c r="G53" s="225"/>
      <c r="H53" s="458"/>
      <c r="I53" s="225"/>
      <c r="J53" s="225"/>
      <c r="K53" s="225"/>
      <c r="L53" s="225"/>
      <c r="M53" s="957" t="str">
        <f>'T1'!$O$26</f>
        <v>REQUINTE com Torre</v>
      </c>
      <c r="N53" s="957"/>
      <c r="O53" s="295"/>
    </row>
    <row r="54" spans="1:21" ht="13.8" customHeight="1" x14ac:dyDescent="0.3">
      <c r="A54" s="294"/>
      <c r="B54" s="224" t="s">
        <v>504</v>
      </c>
      <c r="C54" s="296" t="str">
        <f>'S1'!$A$24</f>
        <v>Grafismo:</v>
      </c>
      <c r="D54" s="323">
        <v>1</v>
      </c>
      <c r="E54" s="296" t="str">
        <f>'S1'!$A$34</f>
        <v>unid.</v>
      </c>
      <c r="F54" s="219" t="str">
        <f>'S1'!$G$1</f>
        <v>Lona fixa ao modulo com imagem num só lado</v>
      </c>
      <c r="G54" s="310"/>
      <c r="J54" s="339" t="str">
        <f>'T1'!$O$21</f>
        <v>REQUINTE sem Torre</v>
      </c>
      <c r="L54" s="217" t="s">
        <v>508</v>
      </c>
      <c r="O54" s="295"/>
    </row>
    <row r="55" spans="1:21" ht="13.8" customHeight="1" x14ac:dyDescent="0.3">
      <c r="A55" s="294"/>
      <c r="D55" s="321">
        <v>1</v>
      </c>
      <c r="E55" s="306" t="str">
        <f>'S1'!$A$34</f>
        <v>unid.</v>
      </c>
      <c r="F55" s="22" t="str">
        <f>'S1'!$G$11</f>
        <v>Fotografia (parede de fundo junto ao gabinete)</v>
      </c>
      <c r="G55" s="310"/>
      <c r="J55" s="339" t="str">
        <f>'T1'!$O$21</f>
        <v>REQUINTE sem Torre</v>
      </c>
      <c r="L55" s="217" t="s">
        <v>509</v>
      </c>
      <c r="O55" s="295"/>
    </row>
    <row r="56" spans="1:21" ht="13.8" customHeight="1" x14ac:dyDescent="0.3">
      <c r="A56" s="294"/>
      <c r="D56" s="220">
        <v>1</v>
      </c>
      <c r="E56" s="299" t="str">
        <f>'S1'!$A$34</f>
        <v>unid.</v>
      </c>
      <c r="F56" s="298" t="str">
        <f>'S1'!$I$1</f>
        <v>Lettering - nome a figurar no Stand</v>
      </c>
      <c r="G56" s="316"/>
      <c r="H56" s="225"/>
      <c r="I56" s="225"/>
      <c r="J56" s="459" t="str">
        <f>'T1'!$O$21</f>
        <v>REQUINTE sem Torre</v>
      </c>
      <c r="K56" s="225"/>
      <c r="L56" s="315" t="s">
        <v>510</v>
      </c>
      <c r="M56" s="298" t="str">
        <f>'S1'!$A$44</f>
        <v>comprimento)</v>
      </c>
      <c r="N56" s="298"/>
      <c r="O56" s="295"/>
    </row>
    <row r="57" spans="1:21" ht="13.8" customHeight="1" x14ac:dyDescent="0.3">
      <c r="A57" s="294"/>
      <c r="D57" s="335">
        <v>4</v>
      </c>
      <c r="E57" s="306" t="str">
        <f>'S1'!$A$34</f>
        <v>unid.</v>
      </c>
      <c r="F57" s="22" t="str">
        <f>'S1'!$G$1</f>
        <v>Lona fixa ao modulo com imagem num só lado</v>
      </c>
      <c r="G57" s="310"/>
      <c r="J57" s="339" t="str">
        <f>'T1'!$O$26</f>
        <v>REQUINTE com Torre</v>
      </c>
      <c r="L57" s="217" t="s">
        <v>512</v>
      </c>
      <c r="O57" s="295"/>
    </row>
    <row r="58" spans="1:21" ht="13.8" customHeight="1" x14ac:dyDescent="0.3">
      <c r="A58" s="294"/>
      <c r="D58" s="321">
        <v>2</v>
      </c>
      <c r="E58" s="306" t="str">
        <f>'S1'!$A$34</f>
        <v>unid.</v>
      </c>
      <c r="F58" s="22" t="str">
        <f>'S1'!$G$16</f>
        <v>Fotografia em vinil para paredes laterais</v>
      </c>
      <c r="G58" s="215"/>
      <c r="J58" s="339" t="str">
        <f>'T1'!$O$26</f>
        <v>REQUINTE com Torre</v>
      </c>
      <c r="L58" s="217" t="s">
        <v>512</v>
      </c>
      <c r="O58" s="295"/>
    </row>
    <row r="59" spans="1:21" ht="13.8" customHeight="1" x14ac:dyDescent="0.3">
      <c r="A59" s="294"/>
      <c r="D59" s="220">
        <v>1</v>
      </c>
      <c r="E59" s="299" t="str">
        <f>'S1'!$A$34</f>
        <v>unid.</v>
      </c>
      <c r="F59" s="298" t="str">
        <f>'S1'!$I$1</f>
        <v>Lettering - nome a figurar no Stand</v>
      </c>
      <c r="G59" s="316"/>
      <c r="H59" s="225"/>
      <c r="I59" s="225"/>
      <c r="J59" s="459" t="str">
        <f>'T1'!$O$26</f>
        <v>REQUINTE com Torre</v>
      </c>
      <c r="K59" s="225"/>
      <c r="L59" s="315" t="s">
        <v>513</v>
      </c>
      <c r="M59" s="298" t="str">
        <f>'S1'!$A$44</f>
        <v>comprimento)</v>
      </c>
      <c r="O59" s="295"/>
    </row>
    <row r="60" spans="1:21" ht="13.8" customHeight="1" x14ac:dyDescent="0.3">
      <c r="A60" s="294"/>
      <c r="O60" s="295"/>
    </row>
    <row r="61" spans="1:21" s="319" customFormat="1" ht="13.8" customHeight="1" x14ac:dyDescent="0.2">
      <c r="A61" s="317"/>
      <c r="B61" s="949" t="str">
        <f>'T1'!$O$26</f>
        <v>REQUINTE com Torre</v>
      </c>
      <c r="C61" s="949"/>
      <c r="D61" s="949"/>
      <c r="E61" s="949"/>
      <c r="F61" s="273" t="s">
        <v>725</v>
      </c>
      <c r="G61" s="363" t="s">
        <v>908</v>
      </c>
      <c r="H61" s="273"/>
      <c r="I61" s="281">
        <f>Serviços!$AA$33</f>
        <v>93.17</v>
      </c>
      <c r="J61" s="328" t="s">
        <v>731</v>
      </c>
      <c r="K61" s="269" t="str">
        <f>'S1'!$E$46</f>
        <v>(Aplicável em espaços com 4 frentes)</v>
      </c>
      <c r="L61" s="273"/>
      <c r="M61" s="273"/>
      <c r="N61" s="273"/>
      <c r="O61" s="318"/>
      <c r="Q61" s="22"/>
      <c r="R61" s="216"/>
      <c r="S61" s="216"/>
      <c r="T61" s="216"/>
      <c r="U61" s="22"/>
    </row>
    <row r="62" spans="1:21" ht="13.8" customHeight="1" x14ac:dyDescent="0.2">
      <c r="A62" s="294"/>
      <c r="B62" s="236" t="s">
        <v>504</v>
      </c>
      <c r="C62" s="306" t="str">
        <f>'S1'!$A$4</f>
        <v>Estrutura:</v>
      </c>
      <c r="D62" s="324"/>
      <c r="E62" s="306"/>
      <c r="F62" s="22" t="str">
        <f>'S1'!$E$11</f>
        <v>Estrutura cubo em aglomerado de madeira</v>
      </c>
      <c r="O62" s="295"/>
      <c r="U62" s="22"/>
    </row>
    <row r="63" spans="1:21" ht="13.8" customHeight="1" x14ac:dyDescent="0.2">
      <c r="A63" s="294"/>
      <c r="B63" s="298"/>
      <c r="C63" s="298"/>
      <c r="D63" s="220">
        <v>1</v>
      </c>
      <c r="E63" s="299" t="str">
        <f>'S1'!$A$34</f>
        <v>unid.</v>
      </c>
      <c r="F63" s="298" t="str">
        <f>'S1'!$I$26</f>
        <v>Gabinete com porta em MDF pintado a branco</v>
      </c>
      <c r="G63" s="304"/>
      <c r="H63" s="298"/>
      <c r="I63" s="298"/>
      <c r="J63" s="298"/>
      <c r="K63" s="298" t="s">
        <v>507</v>
      </c>
      <c r="L63" s="298"/>
      <c r="O63" s="295"/>
      <c r="U63" s="22"/>
    </row>
    <row r="64" spans="1:21" ht="13.8" customHeight="1" x14ac:dyDescent="0.2">
      <c r="A64" s="294"/>
      <c r="B64" s="224" t="s">
        <v>504</v>
      </c>
      <c r="C64" s="219" t="str">
        <f>'S1'!$A$9</f>
        <v>Pavimento:</v>
      </c>
      <c r="D64" s="322">
        <v>36</v>
      </c>
      <c r="E64" s="219" t="s">
        <v>9</v>
      </c>
      <c r="F64" s="219" t="str">
        <f>'S1'!$A$29</f>
        <v>Alcatifa cor Cinza</v>
      </c>
      <c r="G64" s="307"/>
      <c r="H64" s="219"/>
      <c r="I64" s="219"/>
      <c r="J64" s="219"/>
      <c r="K64" s="219"/>
      <c r="L64" s="219"/>
      <c r="O64" s="295"/>
      <c r="U64" s="22"/>
    </row>
    <row r="65" spans="1:21" ht="13.8" customHeight="1" x14ac:dyDescent="0.2">
      <c r="A65" s="294"/>
      <c r="B65" s="222"/>
      <c r="C65" s="298"/>
      <c r="D65" s="220">
        <v>18</v>
      </c>
      <c r="E65" s="298" t="s">
        <v>9</v>
      </c>
      <c r="F65" s="298" t="str">
        <f>'S1'!$G$31</f>
        <v>Estrado 0,10m Alcatifado</v>
      </c>
      <c r="G65" s="298"/>
      <c r="H65" s="298"/>
      <c r="I65" s="298"/>
      <c r="J65" s="298"/>
      <c r="K65" s="298"/>
      <c r="L65" s="298"/>
      <c r="O65" s="295"/>
      <c r="U65" s="22"/>
    </row>
    <row r="66" spans="1:21" ht="13.8" customHeight="1" x14ac:dyDescent="0.3">
      <c r="A66" s="294"/>
      <c r="B66" s="224" t="s">
        <v>504</v>
      </c>
      <c r="C66" s="296" t="str">
        <f>'S1'!$A$14</f>
        <v>Electricidade:</v>
      </c>
      <c r="D66" s="323">
        <v>1</v>
      </c>
      <c r="E66" s="296" t="str">
        <f>'S1'!$A$34</f>
        <v>unid.</v>
      </c>
      <c r="F66" s="297" t="str">
        <f>'S1'!$E$26</f>
        <v>Quadro Eléctrico Monofásico com Tomada Tripla</v>
      </c>
      <c r="G66" s="297"/>
      <c r="H66" s="219"/>
      <c r="I66" s="219"/>
      <c r="J66" s="219"/>
      <c r="K66" s="219"/>
      <c r="L66" s="219"/>
      <c r="O66" s="295"/>
    </row>
    <row r="67" spans="1:21" ht="13.8" customHeight="1" x14ac:dyDescent="0.3">
      <c r="A67" s="294"/>
      <c r="B67" s="222"/>
      <c r="C67" s="298"/>
      <c r="D67" s="220">
        <v>6</v>
      </c>
      <c r="E67" s="299" t="str">
        <f>'S1'!$A$34</f>
        <v>unid.</v>
      </c>
      <c r="F67" s="304" t="str">
        <f>'S1'!$C$31</f>
        <v>Projectores de Led</v>
      </c>
      <c r="G67" s="298"/>
      <c r="H67" s="298"/>
      <c r="I67" s="298"/>
      <c r="J67" s="298"/>
      <c r="K67" s="298"/>
      <c r="L67" s="298"/>
      <c r="O67" s="295"/>
    </row>
    <row r="68" spans="1:21" ht="13.8" customHeight="1" x14ac:dyDescent="0.3">
      <c r="A68" s="294"/>
      <c r="B68" s="224" t="s">
        <v>504</v>
      </c>
      <c r="C68" s="296" t="str">
        <f>'S1'!$A$19</f>
        <v>Mobiliário:</v>
      </c>
      <c r="D68" s="323">
        <v>1</v>
      </c>
      <c r="E68" s="296" t="str">
        <f>'S1'!$A$34</f>
        <v>unid.</v>
      </c>
      <c r="F68" s="297" t="str">
        <f>'S1'!$C$6</f>
        <v>Mesa(s)</v>
      </c>
      <c r="G68" s="297"/>
      <c r="H68" s="219"/>
      <c r="I68" s="219"/>
      <c r="J68" s="219"/>
      <c r="K68" s="219"/>
      <c r="L68" s="219"/>
      <c r="O68" s="295"/>
    </row>
    <row r="69" spans="1:21" ht="13.8" customHeight="1" x14ac:dyDescent="0.3">
      <c r="A69" s="294"/>
      <c r="B69" s="236"/>
      <c r="C69" s="306"/>
      <c r="D69" s="335">
        <v>3</v>
      </c>
      <c r="E69" s="306" t="str">
        <f>'S1'!$A$34</f>
        <v>unid.</v>
      </c>
      <c r="F69" s="22" t="str">
        <f>'S1'!$C$11</f>
        <v>Cadeiras</v>
      </c>
      <c r="G69" s="310"/>
      <c r="J69" s="225"/>
      <c r="K69" s="225"/>
      <c r="L69" s="225"/>
      <c r="O69" s="295"/>
    </row>
    <row r="70" spans="1:21" ht="13.8" customHeight="1" x14ac:dyDescent="0.3">
      <c r="A70" s="294"/>
      <c r="B70" s="224" t="s">
        <v>504</v>
      </c>
      <c r="C70" s="296" t="str">
        <f>'S1'!$A$24</f>
        <v>Grafismo:</v>
      </c>
      <c r="D70" s="323">
        <v>4</v>
      </c>
      <c r="E70" s="296" t="str">
        <f>'S1'!$A$34</f>
        <v>unid.</v>
      </c>
      <c r="F70" s="219" t="str">
        <f>'S1'!$G$6</f>
        <v>Lonas fixas ao módulo superior com imagem num só lado</v>
      </c>
      <c r="G70" s="307"/>
      <c r="H70" s="219"/>
      <c r="I70" s="219"/>
      <c r="K70" s="217" t="s">
        <v>512</v>
      </c>
      <c r="O70" s="295"/>
    </row>
    <row r="71" spans="1:21" ht="13.8" customHeight="1" x14ac:dyDescent="0.3">
      <c r="A71" s="294"/>
      <c r="D71" s="321">
        <v>2</v>
      </c>
      <c r="E71" s="306" t="str">
        <f>'S1'!$A$34</f>
        <v>unid.</v>
      </c>
      <c r="F71" s="22" t="str">
        <f>'S1'!$G$21</f>
        <v>Fotografia em vinil para gabinete</v>
      </c>
      <c r="G71" s="215"/>
      <c r="K71" s="217" t="s">
        <v>509</v>
      </c>
      <c r="O71" s="295"/>
    </row>
    <row r="72" spans="1:21" ht="13.8" customHeight="1" x14ac:dyDescent="0.3">
      <c r="A72" s="294"/>
      <c r="B72" s="298"/>
      <c r="C72" s="298"/>
      <c r="D72" s="220">
        <v>1</v>
      </c>
      <c r="E72" s="299" t="str">
        <f>'S1'!$A$34</f>
        <v>unid.</v>
      </c>
      <c r="F72" s="298" t="str">
        <f>'S1'!$I$1</f>
        <v>Lettering - nome a figurar no Stand</v>
      </c>
      <c r="G72" s="308"/>
      <c r="H72" s="298"/>
      <c r="I72" s="298"/>
      <c r="J72" s="298"/>
      <c r="K72" s="222" t="s">
        <v>514</v>
      </c>
      <c r="L72" s="298" t="str">
        <f>'S1'!$A$44</f>
        <v>comprimento)</v>
      </c>
      <c r="M72" s="298"/>
      <c r="N72" s="298"/>
      <c r="O72" s="295"/>
    </row>
    <row r="73" spans="1:21" ht="13.8" customHeight="1" x14ac:dyDescent="0.3">
      <c r="A73" s="294"/>
      <c r="O73" s="295"/>
    </row>
    <row r="74" spans="1:21" s="319" customFormat="1" ht="13.8" customHeight="1" x14ac:dyDescent="0.25">
      <c r="A74" s="317"/>
      <c r="B74" s="949" t="str">
        <f>'T1'!$O$26</f>
        <v>REQUINTE com Torre</v>
      </c>
      <c r="C74" s="949"/>
      <c r="D74" s="949"/>
      <c r="E74" s="949"/>
      <c r="F74" s="362" t="s">
        <v>726</v>
      </c>
      <c r="G74" s="364" t="s">
        <v>909</v>
      </c>
      <c r="H74" s="273"/>
      <c r="I74" s="281">
        <f>Serviços!$AA$34</f>
        <v>86.7</v>
      </c>
      <c r="J74" s="328" t="s">
        <v>731</v>
      </c>
      <c r="K74" s="269" t="str">
        <f>'S1'!$E$46</f>
        <v>(Aplicável em espaços com 4 frentes)</v>
      </c>
      <c r="L74" s="273"/>
      <c r="M74" s="273"/>
      <c r="N74" s="273"/>
      <c r="O74" s="318"/>
      <c r="R74" s="453"/>
      <c r="S74" s="453"/>
      <c r="T74" s="453"/>
      <c r="U74" s="454"/>
    </row>
    <row r="75" spans="1:21" ht="13.8" customHeight="1" x14ac:dyDescent="0.3">
      <c r="A75" s="294"/>
      <c r="B75" s="236" t="s">
        <v>504</v>
      </c>
      <c r="C75" s="306" t="str">
        <f>'S1'!$A$4</f>
        <v>Estrutura:</v>
      </c>
      <c r="D75" s="325"/>
      <c r="E75" s="306"/>
      <c r="F75" s="22" t="str">
        <f>'S1'!$E$11</f>
        <v>Estrutura cubo em aglomerado de madeira</v>
      </c>
      <c r="O75" s="295"/>
    </row>
    <row r="76" spans="1:21" ht="13.8" customHeight="1" x14ac:dyDescent="0.3">
      <c r="A76" s="294"/>
      <c r="B76" s="298"/>
      <c r="C76" s="298"/>
      <c r="D76" s="220">
        <v>1</v>
      </c>
      <c r="E76" s="299" t="str">
        <f>'S1'!$A$34</f>
        <v>unid.</v>
      </c>
      <c r="F76" s="298" t="str">
        <f>'S1'!$I$26</f>
        <v>Gabinete com porta em MDF pintado a branco</v>
      </c>
      <c r="G76" s="304"/>
      <c r="H76" s="298"/>
      <c r="I76" s="298"/>
      <c r="J76" s="298"/>
      <c r="K76" s="298" t="s">
        <v>511</v>
      </c>
      <c r="L76" s="298"/>
      <c r="O76" s="295"/>
    </row>
    <row r="77" spans="1:21" ht="13.8" customHeight="1" x14ac:dyDescent="0.3">
      <c r="A77" s="294"/>
      <c r="B77" s="224" t="s">
        <v>504</v>
      </c>
      <c r="C77" s="219" t="str">
        <f>'S1'!$A$9</f>
        <v>Pavimento:</v>
      </c>
      <c r="D77" s="322">
        <v>54</v>
      </c>
      <c r="E77" s="219" t="s">
        <v>9</v>
      </c>
      <c r="F77" s="219" t="str">
        <f>'S1'!$A$29</f>
        <v>Alcatifa cor Cinza</v>
      </c>
      <c r="G77" s="307"/>
      <c r="H77" s="219"/>
      <c r="I77" s="219"/>
      <c r="J77" s="219"/>
      <c r="K77" s="219"/>
      <c r="L77" s="219"/>
      <c r="O77" s="295"/>
    </row>
    <row r="78" spans="1:21" ht="13.8" customHeight="1" x14ac:dyDescent="0.3">
      <c r="A78" s="294"/>
      <c r="B78" s="222"/>
      <c r="C78" s="298"/>
      <c r="D78" s="220">
        <v>9</v>
      </c>
      <c r="E78" s="298" t="s">
        <v>9</v>
      </c>
      <c r="F78" s="298" t="str">
        <f>'S1'!$G$31</f>
        <v>Estrado 0,10m Alcatifado</v>
      </c>
      <c r="G78" s="298"/>
      <c r="H78" s="298"/>
      <c r="I78" s="298"/>
      <c r="J78" s="298"/>
      <c r="K78" s="298"/>
      <c r="L78" s="298"/>
      <c r="O78" s="295"/>
    </row>
    <row r="79" spans="1:21" ht="13.8" customHeight="1" x14ac:dyDescent="0.3">
      <c r="A79" s="294"/>
      <c r="B79" s="224" t="s">
        <v>504</v>
      </c>
      <c r="C79" s="296" t="str">
        <f>'S1'!$A$14</f>
        <v>Electricidade:</v>
      </c>
      <c r="D79" s="323">
        <v>1</v>
      </c>
      <c r="E79" s="296" t="str">
        <f>'S1'!$A$34</f>
        <v>unid.</v>
      </c>
      <c r="F79" s="297" t="str">
        <f>'S1'!$E$26</f>
        <v>Quadro Eléctrico Monofásico com Tomada Tripla</v>
      </c>
      <c r="G79" s="297"/>
      <c r="H79" s="219"/>
      <c r="I79" s="219"/>
      <c r="J79" s="219"/>
      <c r="K79" s="219"/>
      <c r="L79" s="219"/>
      <c r="O79" s="295"/>
      <c r="Q79" s="309"/>
    </row>
    <row r="80" spans="1:21" ht="13.8" customHeight="1" x14ac:dyDescent="0.3">
      <c r="A80" s="294"/>
      <c r="B80" s="222"/>
      <c r="C80" s="298"/>
      <c r="D80" s="220">
        <v>7</v>
      </c>
      <c r="E80" s="299" t="str">
        <f>'S1'!$A$34</f>
        <v>unid.</v>
      </c>
      <c r="F80" s="304" t="str">
        <f>'S1'!$C$31</f>
        <v>Projectores de Led</v>
      </c>
      <c r="G80" s="298"/>
      <c r="H80" s="298"/>
      <c r="I80" s="298"/>
      <c r="J80" s="298"/>
      <c r="K80" s="298"/>
      <c r="L80" s="298"/>
      <c r="O80" s="295"/>
    </row>
    <row r="81" spans="1:21" ht="13.8" customHeight="1" x14ac:dyDescent="0.3">
      <c r="A81" s="294"/>
      <c r="B81" s="224" t="s">
        <v>504</v>
      </c>
      <c r="C81" s="296" t="str">
        <f>'S1'!$A$19</f>
        <v>Mobiliário:</v>
      </c>
      <c r="D81" s="323">
        <v>1</v>
      </c>
      <c r="E81" s="296" t="str">
        <f>'S1'!$A$34</f>
        <v>unid.</v>
      </c>
      <c r="F81" s="297" t="str">
        <f>'S1'!$C$6</f>
        <v>Mesa(s)</v>
      </c>
      <c r="G81" s="297"/>
      <c r="H81" s="219"/>
      <c r="I81" s="219"/>
      <c r="J81" s="219"/>
      <c r="K81" s="219"/>
      <c r="L81" s="219"/>
      <c r="O81" s="295"/>
    </row>
    <row r="82" spans="1:21" ht="13.8" customHeight="1" x14ac:dyDescent="0.3">
      <c r="A82" s="294"/>
      <c r="B82" s="236"/>
      <c r="C82" s="306"/>
      <c r="D82" s="335">
        <v>3</v>
      </c>
      <c r="E82" s="306" t="str">
        <f>'S1'!$A$34</f>
        <v>unid.</v>
      </c>
      <c r="F82" s="22" t="str">
        <f>'S1'!$C$11</f>
        <v>Cadeiras</v>
      </c>
      <c r="G82" s="310"/>
      <c r="I82" s="225"/>
      <c r="J82" s="225"/>
      <c r="K82" s="225"/>
      <c r="L82" s="225"/>
      <c r="O82" s="295"/>
    </row>
    <row r="83" spans="1:21" ht="13.8" customHeight="1" x14ac:dyDescent="0.3">
      <c r="A83" s="294"/>
      <c r="B83" s="224" t="s">
        <v>504</v>
      </c>
      <c r="C83" s="296" t="str">
        <f>'S1'!$A$24</f>
        <v>Grafismo:</v>
      </c>
      <c r="D83" s="323">
        <v>4</v>
      </c>
      <c r="E83" s="296" t="str">
        <f>'S1'!$A$34</f>
        <v>unid.</v>
      </c>
      <c r="F83" s="219" t="str">
        <f>'S1'!$G$6</f>
        <v>Lonas fixas ao módulo superior com imagem num só lado</v>
      </c>
      <c r="G83" s="307"/>
      <c r="H83" s="219"/>
      <c r="K83" s="236" t="s">
        <v>512</v>
      </c>
      <c r="O83" s="295"/>
    </row>
    <row r="84" spans="1:21" ht="13.8" customHeight="1" x14ac:dyDescent="0.3">
      <c r="A84" s="294"/>
      <c r="D84" s="321">
        <v>5</v>
      </c>
      <c r="E84" s="306" t="str">
        <f>'S1'!$A$34</f>
        <v>unid.</v>
      </c>
      <c r="F84" s="22" t="str">
        <f>'S1'!$G$26</f>
        <v>Fotografia em vinil para costas do gabinete e paredes</v>
      </c>
      <c r="G84" s="215"/>
      <c r="K84" s="236" t="s">
        <v>512</v>
      </c>
      <c r="O84" s="295"/>
    </row>
    <row r="85" spans="1:21" ht="13.8" customHeight="1" x14ac:dyDescent="0.3">
      <c r="A85" s="294"/>
      <c r="B85" s="298"/>
      <c r="C85" s="298"/>
      <c r="D85" s="220">
        <v>1</v>
      </c>
      <c r="E85" s="299" t="str">
        <f>'S1'!$A$34</f>
        <v>unid.</v>
      </c>
      <c r="F85" s="298" t="str">
        <f>'S1'!$I$1</f>
        <v>Lettering - nome a figurar no Stand</v>
      </c>
      <c r="G85" s="308"/>
      <c r="H85" s="298"/>
      <c r="I85" s="298"/>
      <c r="J85" s="298"/>
      <c r="K85" s="222" t="s">
        <v>513</v>
      </c>
      <c r="L85" s="298" t="str">
        <f>'S1'!$A$44</f>
        <v>comprimento)</v>
      </c>
      <c r="O85" s="295"/>
    </row>
    <row r="86" spans="1:21" ht="13.8" customHeight="1" x14ac:dyDescent="0.3">
      <c r="A86" s="294"/>
      <c r="O86" s="295"/>
    </row>
    <row r="87" spans="1:21" s="319" customFormat="1" ht="13.8" customHeight="1" x14ac:dyDescent="0.25">
      <c r="A87" s="317"/>
      <c r="B87" s="949" t="str">
        <f>'T1'!$O$26</f>
        <v>REQUINTE com Torre</v>
      </c>
      <c r="C87" s="949"/>
      <c r="D87" s="949"/>
      <c r="E87" s="949"/>
      <c r="F87" s="362" t="s">
        <v>727</v>
      </c>
      <c r="G87" s="363" t="s">
        <v>910</v>
      </c>
      <c r="H87" s="273"/>
      <c r="I87" s="281">
        <f>Serviços!$AA$35</f>
        <v>80.66</v>
      </c>
      <c r="J87" s="328" t="s">
        <v>731</v>
      </c>
      <c r="K87" s="269" t="str">
        <f>'S1'!$E$46</f>
        <v>(Aplicável em espaços com 4 frentes)</v>
      </c>
      <c r="L87" s="273"/>
      <c r="M87" s="273"/>
      <c r="N87" s="273"/>
      <c r="O87" s="318"/>
      <c r="R87" s="453"/>
      <c r="S87" s="453"/>
      <c r="T87" s="453"/>
      <c r="U87" s="454"/>
    </row>
    <row r="88" spans="1:21" ht="13.8" customHeight="1" x14ac:dyDescent="0.3">
      <c r="A88" s="294"/>
      <c r="B88" s="236" t="s">
        <v>504</v>
      </c>
      <c r="C88" s="306" t="str">
        <f>'S1'!$A$4</f>
        <v>Estrutura:</v>
      </c>
      <c r="D88" s="324"/>
      <c r="E88" s="306"/>
      <c r="F88" s="22" t="str">
        <f>'S1'!$E$11</f>
        <v>Estrutura cubo em aglomerado de madeira</v>
      </c>
      <c r="O88" s="295"/>
    </row>
    <row r="89" spans="1:21" ht="13.8" customHeight="1" x14ac:dyDescent="0.3">
      <c r="A89" s="294"/>
      <c r="D89" s="321">
        <v>1</v>
      </c>
      <c r="E89" s="306" t="str">
        <f>'S1'!$A$34</f>
        <v>unid.</v>
      </c>
      <c r="F89" s="22" t="str">
        <f>'S1'!$I$26</f>
        <v>Gabinete com porta em MDF pintado a branco</v>
      </c>
      <c r="G89" s="310"/>
      <c r="K89" s="22" t="s">
        <v>511</v>
      </c>
      <c r="O89" s="295"/>
    </row>
    <row r="90" spans="1:21" ht="13.8" customHeight="1" x14ac:dyDescent="0.3">
      <c r="A90" s="294"/>
      <c r="B90" s="224" t="s">
        <v>504</v>
      </c>
      <c r="C90" s="219" t="str">
        <f>'S1'!$A$9</f>
        <v>Pavimento:</v>
      </c>
      <c r="D90" s="322">
        <v>81</v>
      </c>
      <c r="E90" s="219" t="s">
        <v>9</v>
      </c>
      <c r="F90" s="219" t="str">
        <f>'S1'!$A$29</f>
        <v>Alcatifa cor Cinza</v>
      </c>
      <c r="G90" s="307"/>
      <c r="H90" s="219"/>
      <c r="I90" s="219"/>
      <c r="J90" s="219"/>
      <c r="K90" s="219"/>
      <c r="L90" s="219"/>
      <c r="O90" s="295"/>
    </row>
    <row r="91" spans="1:21" ht="13.8" customHeight="1" x14ac:dyDescent="0.3">
      <c r="A91" s="294"/>
      <c r="B91" s="222"/>
      <c r="C91" s="298"/>
      <c r="D91" s="220">
        <v>9</v>
      </c>
      <c r="E91" s="298" t="s">
        <v>9</v>
      </c>
      <c r="F91" s="298" t="str">
        <f>'S1'!$G$31</f>
        <v>Estrado 0,10m Alcatifado</v>
      </c>
      <c r="G91" s="298"/>
      <c r="H91" s="298"/>
      <c r="I91" s="298"/>
      <c r="J91" s="298"/>
      <c r="K91" s="298"/>
      <c r="L91" s="298"/>
      <c r="O91" s="295"/>
    </row>
    <row r="92" spans="1:21" ht="13.8" customHeight="1" x14ac:dyDescent="0.3">
      <c r="A92" s="294"/>
      <c r="B92" s="224" t="s">
        <v>504</v>
      </c>
      <c r="C92" s="296" t="str">
        <f>'S1'!$A$14</f>
        <v>Electricidade:</v>
      </c>
      <c r="D92" s="323">
        <v>1</v>
      </c>
      <c r="E92" s="296" t="str">
        <f>'S1'!$A$34</f>
        <v>unid.</v>
      </c>
      <c r="F92" s="297" t="str">
        <f>'S1'!$E$26</f>
        <v>Quadro Eléctrico Monofásico com Tomada Tripla</v>
      </c>
      <c r="G92" s="297"/>
      <c r="H92" s="219"/>
      <c r="I92" s="219"/>
      <c r="J92" s="219"/>
      <c r="K92" s="219"/>
      <c r="L92" s="219"/>
      <c r="O92" s="295"/>
    </row>
    <row r="93" spans="1:21" ht="13.8" customHeight="1" x14ac:dyDescent="0.3">
      <c r="A93" s="294"/>
      <c r="B93" s="222"/>
      <c r="C93" s="298"/>
      <c r="D93" s="220">
        <v>9</v>
      </c>
      <c r="E93" s="299" t="str">
        <f>'S1'!$A$34</f>
        <v>unid.</v>
      </c>
      <c r="F93" s="304" t="str">
        <f>'S1'!$C$31</f>
        <v>Projectores de Led</v>
      </c>
      <c r="G93" s="298"/>
      <c r="H93" s="298"/>
      <c r="I93" s="298"/>
      <c r="J93" s="298"/>
      <c r="K93" s="298"/>
      <c r="L93" s="298"/>
      <c r="O93" s="295"/>
    </row>
    <row r="94" spans="1:21" ht="13.8" customHeight="1" x14ac:dyDescent="0.3">
      <c r="A94" s="294"/>
      <c r="B94" s="224" t="s">
        <v>504</v>
      </c>
      <c r="C94" s="296" t="str">
        <f>'S1'!$A$19</f>
        <v>Mobiliário:</v>
      </c>
      <c r="D94" s="323">
        <v>1</v>
      </c>
      <c r="E94" s="296" t="str">
        <f>'S1'!$A$34</f>
        <v>unid.</v>
      </c>
      <c r="F94" s="297" t="str">
        <f>'S1'!$C$6</f>
        <v>Mesa(s)</v>
      </c>
      <c r="G94" s="297"/>
      <c r="H94" s="219"/>
      <c r="I94" s="219"/>
      <c r="J94" s="219"/>
      <c r="K94" s="219"/>
      <c r="L94" s="219"/>
      <c r="O94" s="295"/>
    </row>
    <row r="95" spans="1:21" ht="13.8" customHeight="1" x14ac:dyDescent="0.3">
      <c r="A95" s="294"/>
      <c r="B95" s="236"/>
      <c r="C95" s="306"/>
      <c r="D95" s="335">
        <v>3</v>
      </c>
      <c r="E95" s="306" t="str">
        <f>'S1'!$A$34</f>
        <v>unid.</v>
      </c>
      <c r="F95" s="22" t="str">
        <f>'S1'!$C$11</f>
        <v>Cadeiras</v>
      </c>
      <c r="G95" s="310"/>
      <c r="J95" s="225"/>
      <c r="K95" s="225"/>
      <c r="L95" s="225"/>
      <c r="O95" s="295"/>
    </row>
    <row r="96" spans="1:21" ht="13.8" customHeight="1" x14ac:dyDescent="0.3">
      <c r="A96" s="294"/>
      <c r="B96" s="224" t="s">
        <v>504</v>
      </c>
      <c r="C96" s="296" t="str">
        <f>'S1'!$A$24</f>
        <v>Grafismo:</v>
      </c>
      <c r="D96" s="323">
        <v>4</v>
      </c>
      <c r="E96" s="296" t="str">
        <f>'S1'!$A$34</f>
        <v>unid.</v>
      </c>
      <c r="F96" s="219" t="str">
        <f>'S1'!$G$6</f>
        <v>Lonas fixas ao módulo superior com imagem num só lado</v>
      </c>
      <c r="G96" s="307"/>
      <c r="H96" s="219"/>
      <c r="I96" s="219"/>
      <c r="K96" s="236" t="s">
        <v>512</v>
      </c>
      <c r="O96" s="295"/>
    </row>
    <row r="97" spans="1:21" ht="13.8" customHeight="1" x14ac:dyDescent="0.3">
      <c r="A97" s="294"/>
      <c r="D97" s="321">
        <v>9</v>
      </c>
      <c r="E97" s="306" t="str">
        <f>'S1'!$A$34</f>
        <v>unid.</v>
      </c>
      <c r="F97" s="22" t="str">
        <f>'S1'!$G$26</f>
        <v>Fotografia em vinil para costas do gabinete e paredes</v>
      </c>
      <c r="G97" s="215"/>
      <c r="K97" s="236" t="s">
        <v>512</v>
      </c>
      <c r="O97" s="295"/>
    </row>
    <row r="98" spans="1:21" ht="13.8" customHeight="1" x14ac:dyDescent="0.3">
      <c r="A98" s="294"/>
      <c r="B98" s="298"/>
      <c r="C98" s="298"/>
      <c r="D98" s="220">
        <v>1</v>
      </c>
      <c r="E98" s="299" t="str">
        <f>'S1'!$A$34</f>
        <v>unid.</v>
      </c>
      <c r="F98" s="298" t="str">
        <f>'S1'!$I$1</f>
        <v>Lettering - nome a figurar no Stand</v>
      </c>
      <c r="G98" s="308"/>
      <c r="H98" s="298"/>
      <c r="I98" s="298"/>
      <c r="J98" s="298"/>
      <c r="K98" s="222" t="s">
        <v>513</v>
      </c>
      <c r="L98" s="298" t="str">
        <f>'S1'!$A$44</f>
        <v>comprimento)</v>
      </c>
      <c r="O98" s="295"/>
    </row>
    <row r="99" spans="1:21" ht="13.8" customHeight="1" x14ac:dyDescent="0.3">
      <c r="A99" s="294"/>
      <c r="O99" s="295"/>
    </row>
    <row r="100" spans="1:21" s="319" customFormat="1" ht="13.8" customHeight="1" x14ac:dyDescent="0.25">
      <c r="A100" s="317"/>
      <c r="B100" s="951" t="s">
        <v>733</v>
      </c>
      <c r="C100" s="951"/>
      <c r="D100" s="951"/>
      <c r="E100" s="951"/>
      <c r="F100" s="273" t="s">
        <v>723</v>
      </c>
      <c r="G100" s="363" t="s">
        <v>906</v>
      </c>
      <c r="H100" s="273"/>
      <c r="I100" s="336">
        <f>Serviços!$AA$42</f>
        <v>75.53</v>
      </c>
      <c r="J100" s="328" t="s">
        <v>731</v>
      </c>
      <c r="K100" s="954" t="str">
        <f>'S1'!$E$51</f>
        <v>(Aplicável em espaços com 3 frentes)</v>
      </c>
      <c r="L100" s="954"/>
      <c r="M100" s="954"/>
      <c r="N100" s="954"/>
      <c r="O100" s="318"/>
      <c r="R100" s="453"/>
      <c r="S100" s="453"/>
      <c r="T100" s="453"/>
      <c r="U100" s="454"/>
    </row>
    <row r="101" spans="1:21" s="319" customFormat="1" ht="13.8" customHeight="1" x14ac:dyDescent="0.25">
      <c r="A101" s="317"/>
      <c r="B101" s="951"/>
      <c r="C101" s="951"/>
      <c r="D101" s="951"/>
      <c r="E101" s="951"/>
      <c r="F101" s="273" t="s">
        <v>724</v>
      </c>
      <c r="G101" s="269" t="s">
        <v>907</v>
      </c>
      <c r="H101" s="273"/>
      <c r="I101" s="337">
        <f>Serviços!$AA$43</f>
        <v>73.63</v>
      </c>
      <c r="J101" s="328" t="s">
        <v>731</v>
      </c>
      <c r="K101" s="954"/>
      <c r="L101" s="954"/>
      <c r="M101" s="954"/>
      <c r="N101" s="954"/>
      <c r="O101" s="318"/>
      <c r="R101" s="453"/>
      <c r="S101" s="453"/>
      <c r="T101" s="453"/>
      <c r="U101" s="454"/>
    </row>
    <row r="102" spans="1:21" s="319" customFormat="1" ht="13.8" customHeight="1" x14ac:dyDescent="0.25">
      <c r="A102" s="317"/>
      <c r="B102" s="951"/>
      <c r="C102" s="951"/>
      <c r="D102" s="951"/>
      <c r="E102" s="951"/>
      <c r="F102" s="273" t="s">
        <v>725</v>
      </c>
      <c r="G102" s="365" t="s">
        <v>908</v>
      </c>
      <c r="H102" s="273"/>
      <c r="I102" s="337">
        <f>Serviços!$AA$44</f>
        <v>47.98</v>
      </c>
      <c r="J102" s="328" t="s">
        <v>731</v>
      </c>
      <c r="K102" s="954"/>
      <c r="L102" s="954"/>
      <c r="M102" s="954"/>
      <c r="N102" s="954"/>
      <c r="O102" s="318"/>
      <c r="R102" s="453"/>
      <c r="S102" s="453"/>
      <c r="T102" s="453"/>
      <c r="U102" s="454"/>
    </row>
    <row r="103" spans="1:21" s="319" customFormat="1" ht="13.8" customHeight="1" x14ac:dyDescent="0.25">
      <c r="A103" s="317"/>
      <c r="B103" s="951"/>
      <c r="C103" s="951"/>
      <c r="D103" s="951"/>
      <c r="E103" s="951"/>
      <c r="F103" s="273" t="s">
        <v>726</v>
      </c>
      <c r="G103" s="365" t="s">
        <v>909</v>
      </c>
      <c r="H103" s="273"/>
      <c r="I103" s="337">
        <f>Serviços!$AA$45</f>
        <v>45.13</v>
      </c>
      <c r="J103" s="328" t="s">
        <v>731</v>
      </c>
      <c r="K103" s="954"/>
      <c r="L103" s="954"/>
      <c r="M103" s="954"/>
      <c r="N103" s="954"/>
      <c r="O103" s="318"/>
      <c r="R103" s="453"/>
      <c r="S103" s="453"/>
      <c r="T103" s="453"/>
      <c r="U103" s="454"/>
    </row>
    <row r="104" spans="1:21" s="319" customFormat="1" ht="13.8" customHeight="1" x14ac:dyDescent="0.25">
      <c r="A104" s="317"/>
      <c r="B104" s="951"/>
      <c r="C104" s="951"/>
      <c r="D104" s="951"/>
      <c r="E104" s="951"/>
      <c r="F104" s="273" t="s">
        <v>766</v>
      </c>
      <c r="G104" s="365" t="s">
        <v>911</v>
      </c>
      <c r="H104" s="273"/>
      <c r="I104" s="337">
        <f>Serviços!$AA$46</f>
        <v>28</v>
      </c>
      <c r="J104" s="328" t="s">
        <v>731</v>
      </c>
      <c r="K104" s="954"/>
      <c r="L104" s="954"/>
      <c r="M104" s="954"/>
      <c r="N104" s="954"/>
      <c r="O104" s="318"/>
      <c r="R104" s="453"/>
      <c r="S104" s="453"/>
      <c r="T104" s="453"/>
      <c r="U104" s="454"/>
    </row>
    <row r="105" spans="1:21" ht="13.8" customHeight="1" x14ac:dyDescent="0.3">
      <c r="A105" s="294"/>
      <c r="B105" s="236" t="s">
        <v>504</v>
      </c>
      <c r="C105" s="306" t="str">
        <f>'S1'!$A$4</f>
        <v>Estrutura:</v>
      </c>
      <c r="D105" s="321"/>
      <c r="F105" s="22" t="str">
        <f>'S1'!$E$16</f>
        <v>Estrutura de alumínio para parede</v>
      </c>
      <c r="J105" s="217" t="s">
        <v>980</v>
      </c>
      <c r="O105" s="295"/>
    </row>
    <row r="106" spans="1:21" ht="13.8" customHeight="1" x14ac:dyDescent="0.3">
      <c r="A106" s="294"/>
      <c r="B106" s="225"/>
      <c r="C106" s="225"/>
      <c r="D106" s="320">
        <v>1</v>
      </c>
      <c r="E106" s="314" t="str">
        <f>'S1'!$A$34</f>
        <v>unid.</v>
      </c>
      <c r="F106" s="225" t="str">
        <f>'S1'!$I$31</f>
        <v>Porta com chave para acesso à zona de arrumos</v>
      </c>
      <c r="G106" s="225"/>
      <c r="H106" s="225"/>
      <c r="I106" s="225"/>
      <c r="J106" s="225"/>
      <c r="K106" s="225"/>
      <c r="M106" s="449" t="s">
        <v>723</v>
      </c>
      <c r="O106" s="295"/>
    </row>
    <row r="107" spans="1:21" ht="13.8" customHeight="1" x14ac:dyDescent="0.3">
      <c r="A107" s="294"/>
      <c r="B107" s="315" t="s">
        <v>504</v>
      </c>
      <c r="C107" s="225" t="str">
        <f>'S1'!$A$9</f>
        <v>Pavimento:</v>
      </c>
      <c r="D107" s="320"/>
      <c r="E107" s="225"/>
      <c r="F107" s="225" t="str">
        <f>'S1'!$A$29</f>
        <v>Alcatifa cor Cinza</v>
      </c>
      <c r="G107" s="225"/>
      <c r="H107" s="225"/>
      <c r="I107" s="225"/>
      <c r="J107" s="225"/>
      <c r="K107" s="225"/>
      <c r="M107" s="216"/>
      <c r="O107" s="295"/>
    </row>
    <row r="108" spans="1:21" ht="13.8" customHeight="1" x14ac:dyDescent="0.3">
      <c r="A108" s="294"/>
      <c r="B108" s="236" t="s">
        <v>504</v>
      </c>
      <c r="C108" s="306" t="str">
        <f>'S1'!$A$14</f>
        <v>Electricidade:</v>
      </c>
      <c r="D108" s="321">
        <v>1</v>
      </c>
      <c r="E108" s="306" t="str">
        <f>'S1'!$A$34</f>
        <v>unid.</v>
      </c>
      <c r="F108" s="310" t="str">
        <f>'S1'!$E$26</f>
        <v>Quadro Eléctrico Monofásico com Tomada Tripla</v>
      </c>
      <c r="M108" s="216"/>
      <c r="O108" s="295"/>
    </row>
    <row r="109" spans="1:21" ht="13.8" customHeight="1" x14ac:dyDescent="0.3">
      <c r="A109" s="294"/>
      <c r="B109" s="236"/>
      <c r="D109" s="321">
        <v>2</v>
      </c>
      <c r="E109" s="306" t="str">
        <f>'S1'!$A$34</f>
        <v>unid.</v>
      </c>
      <c r="F109" s="310" t="str">
        <f>'S1'!$C$31</f>
        <v>Projectores de Led</v>
      </c>
      <c r="J109" s="339" t="s">
        <v>1141</v>
      </c>
      <c r="M109" s="216"/>
      <c r="O109" s="295"/>
    </row>
    <row r="110" spans="1:21" ht="13.8" customHeight="1" x14ac:dyDescent="0.3">
      <c r="A110" s="294"/>
      <c r="B110" s="236"/>
      <c r="D110" s="321">
        <v>3</v>
      </c>
      <c r="E110" s="306" t="str">
        <f>'S1'!$A$34</f>
        <v>unid.</v>
      </c>
      <c r="F110" s="310" t="str">
        <f>'S1'!$C$31</f>
        <v>Projectores de Led</v>
      </c>
      <c r="J110" s="339" t="s">
        <v>1142</v>
      </c>
      <c r="M110" s="449" t="s">
        <v>724</v>
      </c>
      <c r="O110" s="295"/>
    </row>
    <row r="111" spans="1:21" ht="13.8" customHeight="1" x14ac:dyDescent="0.3">
      <c r="A111" s="294"/>
      <c r="B111" s="315"/>
      <c r="C111" s="225"/>
      <c r="D111" s="320">
        <v>1</v>
      </c>
      <c r="E111" s="314" t="str">
        <f>'S1'!$A$34</f>
        <v>unid.</v>
      </c>
      <c r="F111" s="316" t="str">
        <f>'S1'!$E$31</f>
        <v>Tomada Tripla</v>
      </c>
      <c r="G111" s="225"/>
      <c r="H111" s="225"/>
      <c r="I111" s="225"/>
      <c r="J111" s="225"/>
      <c r="K111" s="225"/>
      <c r="M111" s="216"/>
      <c r="O111" s="295"/>
    </row>
    <row r="112" spans="1:21" ht="13.8" customHeight="1" x14ac:dyDescent="0.3">
      <c r="A112" s="294"/>
      <c r="B112" s="236" t="s">
        <v>504</v>
      </c>
      <c r="C112" s="306" t="str">
        <f>'S1'!$A$19</f>
        <v>Mobiliário:</v>
      </c>
      <c r="D112" s="321">
        <v>1</v>
      </c>
      <c r="E112" s="306" t="str">
        <f>'S1'!$A$34</f>
        <v>unid.</v>
      </c>
      <c r="F112" s="310" t="str">
        <f>'S1'!$C$6</f>
        <v>Mesa(s)</v>
      </c>
      <c r="H112" s="219" t="s">
        <v>981</v>
      </c>
      <c r="J112" s="339" t="s">
        <v>723</v>
      </c>
      <c r="M112" s="216"/>
      <c r="O112" s="295"/>
    </row>
    <row r="113" spans="1:21" ht="13.8" customHeight="1" x14ac:dyDescent="0.3">
      <c r="A113" s="294"/>
      <c r="B113" s="236"/>
      <c r="C113" s="306"/>
      <c r="D113" s="321">
        <v>2</v>
      </c>
      <c r="E113" s="306" t="str">
        <f>'S1'!$A$34</f>
        <v>unid.</v>
      </c>
      <c r="F113" s="310" t="str">
        <f>'S1'!$C$6</f>
        <v>Mesa(s)</v>
      </c>
      <c r="J113" s="339" t="s">
        <v>724</v>
      </c>
      <c r="M113" s="216"/>
      <c r="O113" s="295"/>
    </row>
    <row r="114" spans="1:21" ht="13.8" customHeight="1" x14ac:dyDescent="0.3">
      <c r="A114" s="294"/>
      <c r="B114" s="236"/>
      <c r="C114" s="306"/>
      <c r="D114" s="321">
        <v>3</v>
      </c>
      <c r="E114" s="306" t="str">
        <f>'S1'!$A$34</f>
        <v>unid.</v>
      </c>
      <c r="F114" s="310" t="str">
        <f>'S1'!$C$6</f>
        <v>Mesa(s)</v>
      </c>
      <c r="J114" s="339" t="s">
        <v>725</v>
      </c>
      <c r="M114" s="216"/>
      <c r="O114" s="295"/>
    </row>
    <row r="115" spans="1:21" ht="13.8" customHeight="1" x14ac:dyDescent="0.3">
      <c r="A115" s="294"/>
      <c r="B115" s="236"/>
      <c r="C115" s="306"/>
      <c r="D115" s="321">
        <v>4</v>
      </c>
      <c r="E115" s="306" t="str">
        <f>'S1'!$A$34</f>
        <v>unid.</v>
      </c>
      <c r="F115" s="310" t="str">
        <f>'S1'!$C$6</f>
        <v>Mesa(s)</v>
      </c>
      <c r="J115" s="339" t="s">
        <v>726</v>
      </c>
      <c r="M115" s="449" t="s">
        <v>725</v>
      </c>
      <c r="O115" s="295"/>
    </row>
    <row r="116" spans="1:21" ht="13.8" customHeight="1" x14ac:dyDescent="0.3">
      <c r="A116" s="294"/>
      <c r="B116" s="236"/>
      <c r="C116" s="306"/>
      <c r="D116" s="220">
        <v>6</v>
      </c>
      <c r="E116" s="299" t="str">
        <f>'S1'!$A$34</f>
        <v>unid.</v>
      </c>
      <c r="F116" s="304" t="str">
        <f>'S1'!$C$6</f>
        <v>Mesa(s)</v>
      </c>
      <c r="G116" s="298"/>
      <c r="H116" s="298"/>
      <c r="I116" s="298"/>
      <c r="J116" s="447" t="s">
        <v>766</v>
      </c>
      <c r="K116" s="298"/>
      <c r="M116" s="216"/>
      <c r="O116" s="295"/>
    </row>
    <row r="117" spans="1:21" ht="13.8" customHeight="1" x14ac:dyDescent="0.3">
      <c r="A117" s="294"/>
      <c r="B117" s="236"/>
      <c r="C117" s="306"/>
      <c r="D117" s="321">
        <v>2</v>
      </c>
      <c r="E117" s="306" t="str">
        <f>'S1'!$A$34</f>
        <v>unid.</v>
      </c>
      <c r="F117" s="22" t="str">
        <f>'S1'!$C$11</f>
        <v>Cadeiras</v>
      </c>
      <c r="J117" s="339" t="s">
        <v>723</v>
      </c>
      <c r="M117" s="216"/>
      <c r="O117" s="295"/>
    </row>
    <row r="118" spans="1:21" ht="13.8" customHeight="1" x14ac:dyDescent="0.3">
      <c r="A118" s="294"/>
      <c r="B118" s="236"/>
      <c r="C118" s="306"/>
      <c r="D118" s="321">
        <v>4</v>
      </c>
      <c r="E118" s="306" t="str">
        <f>'S1'!$A$34</f>
        <v>unid.</v>
      </c>
      <c r="F118" s="22" t="str">
        <f>'S1'!$C$11</f>
        <v>Cadeiras</v>
      </c>
      <c r="J118" s="339" t="s">
        <v>724</v>
      </c>
      <c r="M118" s="216"/>
      <c r="O118" s="295"/>
    </row>
    <row r="119" spans="1:21" ht="13.8" customHeight="1" x14ac:dyDescent="0.3">
      <c r="A119" s="294"/>
      <c r="B119" s="236"/>
      <c r="C119" s="306"/>
      <c r="D119" s="321">
        <v>6</v>
      </c>
      <c r="E119" s="306" t="str">
        <f>'S1'!$A$34</f>
        <v>unid.</v>
      </c>
      <c r="F119" s="22" t="str">
        <f>'S1'!$C$11</f>
        <v>Cadeiras</v>
      </c>
      <c r="J119" s="339" t="s">
        <v>725</v>
      </c>
      <c r="M119" s="216"/>
      <c r="O119" s="295"/>
    </row>
    <row r="120" spans="1:21" ht="13.8" customHeight="1" x14ac:dyDescent="0.3">
      <c r="A120" s="294"/>
      <c r="B120" s="236"/>
      <c r="C120" s="306"/>
      <c r="D120" s="321">
        <v>12</v>
      </c>
      <c r="E120" s="306" t="str">
        <f>'S1'!$A$34</f>
        <v>unid.</v>
      </c>
      <c r="F120" s="22" t="str">
        <f>'S1'!$C$11</f>
        <v>Cadeiras</v>
      </c>
      <c r="J120" s="339" t="s">
        <v>726</v>
      </c>
      <c r="M120" s="449" t="s">
        <v>726</v>
      </c>
      <c r="O120" s="295"/>
    </row>
    <row r="121" spans="1:21" ht="13.8" customHeight="1" x14ac:dyDescent="0.3">
      <c r="A121" s="294"/>
      <c r="B121" s="236"/>
      <c r="C121" s="306"/>
      <c r="D121" s="220">
        <v>18</v>
      </c>
      <c r="E121" s="299" t="str">
        <f>'S1'!$A$34</f>
        <v>unid.</v>
      </c>
      <c r="F121" s="298" t="str">
        <f>'S1'!$C$11</f>
        <v>Cadeiras</v>
      </c>
      <c r="G121" s="298"/>
      <c r="H121" s="298"/>
      <c r="I121" s="298"/>
      <c r="J121" s="447" t="s">
        <v>766</v>
      </c>
      <c r="K121" s="298"/>
      <c r="L121" s="216"/>
      <c r="O121" s="295"/>
    </row>
    <row r="122" spans="1:21" ht="13.8" customHeight="1" x14ac:dyDescent="0.3">
      <c r="A122" s="294"/>
      <c r="B122" s="236"/>
      <c r="C122" s="306"/>
      <c r="D122" s="321">
        <v>1</v>
      </c>
      <c r="E122" s="306" t="str">
        <f>'S1'!$A$34</f>
        <v>unid.</v>
      </c>
      <c r="F122" s="22" t="str">
        <f>'S1'!$K$21</f>
        <v>Banco alto branco CONCHA</v>
      </c>
      <c r="L122" s="216"/>
      <c r="O122" s="295"/>
    </row>
    <row r="123" spans="1:21" ht="13.8" customHeight="1" x14ac:dyDescent="0.3">
      <c r="A123" s="294"/>
      <c r="B123" s="315"/>
      <c r="C123" s="314"/>
      <c r="D123" s="320">
        <v>1</v>
      </c>
      <c r="E123" s="314" t="str">
        <f>'S1'!$A$34</f>
        <v>unid.</v>
      </c>
      <c r="F123" s="225" t="str">
        <f>'S1'!$K$6</f>
        <v xml:space="preserve">Balcão FIL B com portas e fechadura    </v>
      </c>
      <c r="G123" s="225"/>
      <c r="H123" s="225"/>
      <c r="I123" s="225"/>
      <c r="J123" s="225"/>
      <c r="K123" s="225"/>
      <c r="L123" s="451"/>
      <c r="O123" s="295"/>
    </row>
    <row r="124" spans="1:21" ht="13.8" customHeight="1" x14ac:dyDescent="0.3">
      <c r="A124" s="294"/>
      <c r="B124" s="236" t="s">
        <v>504</v>
      </c>
      <c r="C124" s="306" t="str">
        <f>'S1'!$A$24</f>
        <v>Grafismo:</v>
      </c>
      <c r="D124" s="321">
        <v>1</v>
      </c>
      <c r="E124" s="306" t="str">
        <f>'S1'!$A$34</f>
        <v>unid.</v>
      </c>
      <c r="F124" s="22" t="str">
        <f>'S1'!$I$16</f>
        <v>Grafismo parede de fundo</v>
      </c>
      <c r="J124" s="339" t="s">
        <v>1141</v>
      </c>
      <c r="K124" s="397" t="s">
        <v>982</v>
      </c>
      <c r="L124" s="321"/>
      <c r="O124" s="295"/>
    </row>
    <row r="125" spans="1:21" ht="13.8" customHeight="1" x14ac:dyDescent="0.3">
      <c r="A125" s="294"/>
      <c r="B125" s="236"/>
      <c r="C125" s="306"/>
      <c r="D125" s="321">
        <v>1</v>
      </c>
      <c r="E125" s="306" t="str">
        <f>'S1'!$A$34</f>
        <v>unid.</v>
      </c>
      <c r="F125" s="22" t="str">
        <f>'S1'!$I$16</f>
        <v>Grafismo parede de fundo</v>
      </c>
      <c r="J125" s="339" t="s">
        <v>1142</v>
      </c>
      <c r="K125" s="217" t="s">
        <v>983</v>
      </c>
      <c r="M125" s="449" t="s">
        <v>766</v>
      </c>
      <c r="O125" s="295"/>
    </row>
    <row r="126" spans="1:21" ht="13.8" customHeight="1" x14ac:dyDescent="0.3">
      <c r="A126" s="294"/>
      <c r="B126" s="225"/>
      <c r="C126" s="225"/>
      <c r="D126" s="320">
        <v>1</v>
      </c>
      <c r="E126" s="314" t="str">
        <f>'S1'!$A$34</f>
        <v>unid.</v>
      </c>
      <c r="F126" s="225" t="str">
        <f>'S1'!$I$21</f>
        <v>Grafismo em vinil para Balcão</v>
      </c>
      <c r="G126" s="225"/>
      <c r="H126" s="225"/>
      <c r="I126" s="225"/>
      <c r="J126" s="225"/>
      <c r="K126" s="398" t="s">
        <v>979</v>
      </c>
      <c r="O126" s="295"/>
    </row>
    <row r="127" spans="1:21" ht="13.8" customHeight="1" x14ac:dyDescent="0.3">
      <c r="A127" s="294"/>
      <c r="O127" s="295"/>
    </row>
    <row r="128" spans="1:21" s="319" customFormat="1" ht="13.8" customHeight="1" x14ac:dyDescent="0.2">
      <c r="A128" s="294"/>
      <c r="B128" s="949" t="s">
        <v>767</v>
      </c>
      <c r="C128" s="949"/>
      <c r="D128" s="949"/>
      <c r="E128" s="949"/>
      <c r="F128" s="273" t="s">
        <v>725</v>
      </c>
      <c r="G128" s="448" t="s">
        <v>908</v>
      </c>
      <c r="H128" s="273"/>
      <c r="I128" s="337">
        <f>Serviços!$AA$48</f>
        <v>73.150000000000006</v>
      </c>
      <c r="J128" s="328" t="s">
        <v>731</v>
      </c>
      <c r="K128" s="954" t="str">
        <f>'S1'!$E$46</f>
        <v>(Aplicável em espaços com 4 frentes)</v>
      </c>
      <c r="L128" s="954"/>
      <c r="M128" s="954"/>
      <c r="N128" s="954"/>
      <c r="O128" s="295"/>
      <c r="R128" s="453"/>
      <c r="S128" s="453"/>
      <c r="T128" s="453"/>
      <c r="U128" s="454"/>
    </row>
    <row r="129" spans="1:21" s="319" customFormat="1" ht="13.8" customHeight="1" x14ac:dyDescent="0.2">
      <c r="A129" s="294"/>
      <c r="B129" s="949"/>
      <c r="C129" s="949"/>
      <c r="D129" s="949"/>
      <c r="E129" s="949"/>
      <c r="F129" s="273" t="s">
        <v>726</v>
      </c>
      <c r="G129" s="448" t="s">
        <v>912</v>
      </c>
      <c r="H129" s="273"/>
      <c r="I129" s="337">
        <f>Serviços!$AA$49</f>
        <v>56.05</v>
      </c>
      <c r="J129" s="328" t="s">
        <v>731</v>
      </c>
      <c r="K129" s="954"/>
      <c r="L129" s="954"/>
      <c r="M129" s="954"/>
      <c r="N129" s="954"/>
      <c r="O129" s="295"/>
      <c r="R129" s="453"/>
      <c r="S129" s="453"/>
      <c r="T129" s="453"/>
      <c r="U129" s="454"/>
    </row>
    <row r="130" spans="1:21" s="319" customFormat="1" ht="13.8" customHeight="1" x14ac:dyDescent="0.2">
      <c r="A130" s="294"/>
      <c r="B130" s="949"/>
      <c r="C130" s="949"/>
      <c r="D130" s="949"/>
      <c r="E130" s="949"/>
      <c r="F130" s="273" t="s">
        <v>766</v>
      </c>
      <c r="G130" s="448" t="s">
        <v>913</v>
      </c>
      <c r="H130" s="273"/>
      <c r="I130" s="337">
        <f>Serviços!$AA$50</f>
        <v>49.4</v>
      </c>
      <c r="J130" s="328" t="s">
        <v>731</v>
      </c>
      <c r="K130" s="954"/>
      <c r="L130" s="954"/>
      <c r="M130" s="954"/>
      <c r="N130" s="954"/>
      <c r="O130" s="295"/>
      <c r="R130" s="453"/>
      <c r="S130" s="453"/>
      <c r="T130" s="453"/>
      <c r="U130" s="454"/>
    </row>
    <row r="131" spans="1:21" s="319" customFormat="1" ht="13.8" customHeight="1" x14ac:dyDescent="0.2">
      <c r="A131" s="294"/>
      <c r="B131" s="949"/>
      <c r="C131" s="949"/>
      <c r="D131" s="949"/>
      <c r="E131" s="949"/>
      <c r="F131" s="273" t="s">
        <v>727</v>
      </c>
      <c r="G131" s="448" t="s">
        <v>910</v>
      </c>
      <c r="H131" s="273"/>
      <c r="I131" s="336">
        <f>Serviços!$AA$51</f>
        <v>47.5</v>
      </c>
      <c r="J131" s="328" t="s">
        <v>731</v>
      </c>
      <c r="K131" s="954"/>
      <c r="L131" s="954"/>
      <c r="M131" s="954"/>
      <c r="N131" s="954"/>
      <c r="O131" s="295"/>
      <c r="R131" s="453"/>
      <c r="S131" s="453"/>
      <c r="T131" s="453"/>
      <c r="U131" s="454"/>
    </row>
    <row r="132" spans="1:21" ht="13.8" customHeight="1" x14ac:dyDescent="0.3">
      <c r="A132" s="294"/>
      <c r="B132" s="236" t="s">
        <v>504</v>
      </c>
      <c r="C132" s="306" t="str">
        <f>'S1'!$A$4</f>
        <v>Estrutura:</v>
      </c>
      <c r="F132" s="22" t="str">
        <f>'S2'!$A$18</f>
        <v>Estrutura central em perfis de madeira de secção quadrada com 10 cm, pintados de branco (3,00 x 3,00 x 5,00 alt.)</v>
      </c>
      <c r="O132" s="295"/>
    </row>
    <row r="133" spans="1:21" ht="13.8" customHeight="1" x14ac:dyDescent="0.3">
      <c r="A133" s="294"/>
      <c r="C133" s="225"/>
      <c r="D133" s="320">
        <v>1</v>
      </c>
      <c r="E133" s="314" t="str">
        <f>'S1'!$A$34</f>
        <v>unid.</v>
      </c>
      <c r="F133" s="225" t="str">
        <f>'S1'!$I$26</f>
        <v>Gabinete com porta em MDF pintado a branco</v>
      </c>
      <c r="G133" s="225"/>
      <c r="H133" s="225"/>
      <c r="I133" s="225"/>
      <c r="J133" s="225"/>
      <c r="K133" s="457" t="s">
        <v>1155</v>
      </c>
      <c r="L133" s="225"/>
      <c r="O133" s="295"/>
    </row>
    <row r="134" spans="1:21" ht="13.8" customHeight="1" x14ac:dyDescent="0.3">
      <c r="A134" s="294"/>
      <c r="B134" s="236" t="s">
        <v>504</v>
      </c>
      <c r="C134" s="22" t="str">
        <f>'S1'!$A$9</f>
        <v>Pavimento:</v>
      </c>
      <c r="D134" s="321"/>
      <c r="F134" s="22" t="str">
        <f>'S1'!$A$29</f>
        <v>Alcatifa cor Cinza</v>
      </c>
      <c r="O134" s="295"/>
    </row>
    <row r="135" spans="1:21" ht="13.8" customHeight="1" x14ac:dyDescent="0.3">
      <c r="A135" s="294"/>
      <c r="B135" s="315"/>
      <c r="C135" s="225"/>
      <c r="D135" s="320">
        <v>9</v>
      </c>
      <c r="E135" s="225" t="s">
        <v>9</v>
      </c>
      <c r="F135" s="225" t="str">
        <f>'S1'!$G$31</f>
        <v>Estrado 0,10m Alcatifado</v>
      </c>
      <c r="G135" s="225"/>
      <c r="H135" s="225"/>
      <c r="I135" s="225"/>
      <c r="J135" s="225"/>
      <c r="K135" s="225"/>
      <c r="L135" s="225"/>
      <c r="O135" s="295"/>
    </row>
    <row r="136" spans="1:21" ht="13.8" customHeight="1" x14ac:dyDescent="0.3">
      <c r="A136" s="294"/>
      <c r="B136" s="236" t="s">
        <v>504</v>
      </c>
      <c r="C136" s="306" t="str">
        <f>'S1'!$A$14</f>
        <v>Electricidade:</v>
      </c>
      <c r="D136" s="321">
        <v>1</v>
      </c>
      <c r="E136" s="306" t="str">
        <f>'S1'!$A$34</f>
        <v>unid.</v>
      </c>
      <c r="F136" s="310" t="str">
        <f>'S1'!$E$26</f>
        <v>Quadro Eléctrico Monofásico com Tomada Tripla</v>
      </c>
      <c r="M136" s="449" t="s">
        <v>725</v>
      </c>
      <c r="O136" s="295"/>
    </row>
    <row r="137" spans="1:21" ht="13.8" customHeight="1" x14ac:dyDescent="0.3">
      <c r="A137" s="294"/>
      <c r="B137" s="236"/>
      <c r="D137" s="321">
        <v>5</v>
      </c>
      <c r="E137" s="306" t="str">
        <f>'S1'!$A$34</f>
        <v>unid.</v>
      </c>
      <c r="F137" s="310" t="str">
        <f>'S1'!$C$31</f>
        <v>Projectores de Led</v>
      </c>
      <c r="M137" s="216"/>
      <c r="O137" s="295"/>
    </row>
    <row r="138" spans="1:21" ht="13.8" customHeight="1" x14ac:dyDescent="0.3">
      <c r="A138" s="294"/>
      <c r="B138" s="315"/>
      <c r="C138" s="225"/>
      <c r="D138" s="320">
        <v>1</v>
      </c>
      <c r="E138" s="314" t="str">
        <f>'S1'!$A$34</f>
        <v>unid.</v>
      </c>
      <c r="F138" s="316" t="str">
        <f>'S1'!$E$31</f>
        <v>Tomada Tripla</v>
      </c>
      <c r="G138" s="225"/>
      <c r="H138" s="225"/>
      <c r="I138" s="225"/>
      <c r="J138" s="225"/>
      <c r="K138" s="225"/>
      <c r="L138" s="225"/>
      <c r="M138" s="451"/>
      <c r="O138" s="295"/>
    </row>
    <row r="139" spans="1:21" ht="13.8" customHeight="1" x14ac:dyDescent="0.3">
      <c r="A139" s="294"/>
      <c r="B139" s="236" t="s">
        <v>504</v>
      </c>
      <c r="C139" s="306" t="str">
        <f>'S1'!$A$19</f>
        <v>Mobiliário:</v>
      </c>
      <c r="D139" s="321">
        <v>3</v>
      </c>
      <c r="E139" s="306" t="str">
        <f>'S1'!$A$34</f>
        <v>unid.</v>
      </c>
      <c r="F139" s="310" t="str">
        <f>'S1'!$C$6</f>
        <v>Mesa(s)</v>
      </c>
      <c r="H139" s="219" t="s">
        <v>768</v>
      </c>
      <c r="J139" s="339" t="s">
        <v>725</v>
      </c>
      <c r="M139" s="216"/>
      <c r="O139" s="295"/>
    </row>
    <row r="140" spans="1:21" ht="13.8" customHeight="1" x14ac:dyDescent="0.3">
      <c r="A140" s="294"/>
      <c r="B140" s="236"/>
      <c r="C140" s="306"/>
      <c r="D140" s="321">
        <v>4</v>
      </c>
      <c r="E140" s="306" t="str">
        <f>'S1'!$A$34</f>
        <v>unid.</v>
      </c>
      <c r="F140" s="310" t="str">
        <f>'S1'!$C$6</f>
        <v>Mesa(s)</v>
      </c>
      <c r="J140" s="339" t="s">
        <v>726</v>
      </c>
      <c r="M140" s="216"/>
      <c r="O140" s="295"/>
    </row>
    <row r="141" spans="1:21" ht="13.8" customHeight="1" x14ac:dyDescent="0.3">
      <c r="A141" s="294"/>
      <c r="B141" s="236"/>
      <c r="C141" s="306"/>
      <c r="D141" s="321">
        <v>6</v>
      </c>
      <c r="E141" s="306" t="str">
        <f>'S1'!$A$34</f>
        <v>unid.</v>
      </c>
      <c r="F141" s="310" t="str">
        <f>'S1'!$C$6</f>
        <v>Mesa(s)</v>
      </c>
      <c r="J141" s="339" t="s">
        <v>766</v>
      </c>
      <c r="M141" s="449" t="s">
        <v>726</v>
      </c>
      <c r="O141" s="295"/>
    </row>
    <row r="142" spans="1:21" ht="13.8" customHeight="1" x14ac:dyDescent="0.3">
      <c r="A142" s="294"/>
      <c r="B142" s="236"/>
      <c r="C142" s="306"/>
      <c r="D142" s="220">
        <v>7</v>
      </c>
      <c r="E142" s="299" t="str">
        <f>'S1'!$A$34</f>
        <v>unid.</v>
      </c>
      <c r="F142" s="304" t="str">
        <f>'S1'!$C$6</f>
        <v>Mesa(s)</v>
      </c>
      <c r="G142" s="298"/>
      <c r="H142" s="298"/>
      <c r="I142" s="298"/>
      <c r="J142" s="447" t="s">
        <v>727</v>
      </c>
      <c r="K142" s="298"/>
      <c r="M142" s="216"/>
      <c r="O142" s="295"/>
    </row>
    <row r="143" spans="1:21" ht="13.8" customHeight="1" x14ac:dyDescent="0.3">
      <c r="A143" s="294"/>
      <c r="B143" s="236"/>
      <c r="C143" s="306"/>
      <c r="D143" s="321">
        <v>9</v>
      </c>
      <c r="E143" s="306" t="str">
        <f>'S1'!$A$34</f>
        <v>unid.</v>
      </c>
      <c r="F143" s="22" t="str">
        <f>'S1'!$C$11</f>
        <v>Cadeiras</v>
      </c>
      <c r="J143" s="339" t="s">
        <v>725</v>
      </c>
      <c r="M143" s="216"/>
      <c r="O143" s="295"/>
    </row>
    <row r="144" spans="1:21" ht="13.8" customHeight="1" x14ac:dyDescent="0.3">
      <c r="A144" s="294"/>
      <c r="B144" s="236"/>
      <c r="C144" s="306"/>
      <c r="D144" s="321">
        <v>12</v>
      </c>
      <c r="E144" s="306" t="str">
        <f>'S1'!$A$34</f>
        <v>unid.</v>
      </c>
      <c r="F144" s="22" t="str">
        <f>'S1'!$C$11</f>
        <v>Cadeiras</v>
      </c>
      <c r="J144" s="339" t="s">
        <v>726</v>
      </c>
      <c r="M144" s="216"/>
      <c r="O144" s="295"/>
    </row>
    <row r="145" spans="1:15" ht="13.8" customHeight="1" x14ac:dyDescent="0.3">
      <c r="A145" s="294"/>
      <c r="B145" s="236"/>
      <c r="C145" s="306"/>
      <c r="D145" s="321">
        <v>18</v>
      </c>
      <c r="E145" s="306" t="str">
        <f>'S1'!$A$34</f>
        <v>unid.</v>
      </c>
      <c r="F145" s="22" t="str">
        <f>'S1'!$C$11</f>
        <v>Cadeiras</v>
      </c>
      <c r="J145" s="339" t="s">
        <v>766</v>
      </c>
      <c r="M145" s="449" t="s">
        <v>766</v>
      </c>
      <c r="O145" s="295"/>
    </row>
    <row r="146" spans="1:15" ht="13.8" customHeight="1" x14ac:dyDescent="0.3">
      <c r="A146" s="294"/>
      <c r="B146" s="236"/>
      <c r="C146" s="306"/>
      <c r="D146" s="220">
        <v>21</v>
      </c>
      <c r="E146" s="299" t="str">
        <f>'S1'!$A$34</f>
        <v>unid.</v>
      </c>
      <c r="F146" s="298" t="str">
        <f>'S1'!$C$11</f>
        <v>Cadeiras</v>
      </c>
      <c r="G146" s="298"/>
      <c r="H146" s="298"/>
      <c r="I146" s="298"/>
      <c r="J146" s="447" t="s">
        <v>727</v>
      </c>
      <c r="K146" s="298"/>
      <c r="O146" s="295"/>
    </row>
    <row r="147" spans="1:15" ht="13.8" customHeight="1" x14ac:dyDescent="0.3">
      <c r="A147" s="294"/>
      <c r="B147" s="236"/>
      <c r="C147" s="306"/>
      <c r="D147" s="321">
        <v>1</v>
      </c>
      <c r="E147" s="306" t="str">
        <f>'S1'!$A$34</f>
        <v>unid.</v>
      </c>
      <c r="F147" s="22" t="str">
        <f>'S1'!$K$21</f>
        <v>Banco alto branco CONCHA</v>
      </c>
      <c r="M147" s="216"/>
      <c r="O147" s="295"/>
    </row>
    <row r="148" spans="1:15" ht="13.8" customHeight="1" x14ac:dyDescent="0.3">
      <c r="A148" s="294"/>
      <c r="B148" s="315"/>
      <c r="C148" s="314"/>
      <c r="D148" s="320">
        <v>1</v>
      </c>
      <c r="E148" s="314" t="str">
        <f>'S1'!$A$34</f>
        <v>unid.</v>
      </c>
      <c r="F148" s="225" t="str">
        <f>'S1'!$K$11</f>
        <v>Balcão FIL C com prateleira</v>
      </c>
      <c r="G148" s="225"/>
      <c r="H148" s="225"/>
      <c r="I148" s="225"/>
      <c r="J148" s="225"/>
      <c r="K148" s="225"/>
      <c r="L148" s="225"/>
      <c r="M148" s="451"/>
      <c r="O148" s="295"/>
    </row>
    <row r="149" spans="1:15" ht="13.8" customHeight="1" x14ac:dyDescent="0.3">
      <c r="A149" s="294"/>
      <c r="B149" s="236" t="s">
        <v>504</v>
      </c>
      <c r="C149" s="306" t="str">
        <f>'S1'!$A$24</f>
        <v>Grafismo:</v>
      </c>
      <c r="D149" s="321">
        <v>4</v>
      </c>
      <c r="E149" s="306" t="str">
        <f>'S1'!$A$34</f>
        <v>unid.</v>
      </c>
      <c r="F149" s="22" t="str">
        <f>'S1'!$G$6</f>
        <v>Lonas fixas ao módulo superior com imagem num só lado</v>
      </c>
      <c r="K149" s="216" t="s">
        <v>512</v>
      </c>
      <c r="M149" s="216"/>
      <c r="O149" s="295"/>
    </row>
    <row r="150" spans="1:15" ht="13.8" customHeight="1" x14ac:dyDescent="0.3">
      <c r="A150" s="294"/>
      <c r="D150" s="321">
        <v>1</v>
      </c>
      <c r="E150" s="306" t="str">
        <f>'S1'!$A$34</f>
        <v>unid.</v>
      </c>
      <c r="F150" s="22" t="str">
        <f>'S1'!$G$21</f>
        <v>Fotografia em vinil para gabinete</v>
      </c>
      <c r="J150" s="216" t="s">
        <v>509</v>
      </c>
      <c r="M150" s="449" t="s">
        <v>727</v>
      </c>
      <c r="O150" s="295"/>
    </row>
    <row r="151" spans="1:15" ht="13.8" customHeight="1" x14ac:dyDescent="0.3">
      <c r="A151" s="294"/>
      <c r="B151" s="225"/>
      <c r="C151" s="225"/>
      <c r="D151" s="320">
        <v>1</v>
      </c>
      <c r="E151" s="314" t="str">
        <f>'S1'!$A$34</f>
        <v>unid.</v>
      </c>
      <c r="F151" s="225" t="str">
        <f>'S1'!$I$21</f>
        <v>Grafismo em vinil para Balcão</v>
      </c>
      <c r="G151" s="225"/>
      <c r="H151" s="225"/>
      <c r="I151" s="298"/>
      <c r="J151" s="221" t="s">
        <v>1156</v>
      </c>
      <c r="K151" s="298"/>
      <c r="L151" s="298"/>
      <c r="O151" s="295"/>
    </row>
    <row r="152" spans="1:15" ht="13.8" customHeight="1" x14ac:dyDescent="0.3">
      <c r="A152" s="294"/>
      <c r="O152" s="295"/>
    </row>
    <row r="153" spans="1:15" ht="13.8" customHeight="1" x14ac:dyDescent="0.3">
      <c r="A153" s="294"/>
      <c r="O153" s="295"/>
    </row>
    <row r="154" spans="1:15" ht="13.8" customHeight="1" x14ac:dyDescent="0.3">
      <c r="A154" s="294"/>
      <c r="O154" s="295"/>
    </row>
    <row r="155" spans="1:15" ht="13.8" customHeight="1" x14ac:dyDescent="0.3">
      <c r="A155" s="294"/>
      <c r="O155" s="295"/>
    </row>
    <row r="156" spans="1:15" ht="13.8" customHeight="1" x14ac:dyDescent="0.3">
      <c r="A156" s="294"/>
      <c r="O156" s="295"/>
    </row>
    <row r="157" spans="1:15" ht="13.8" customHeight="1" x14ac:dyDescent="0.3">
      <c r="A157" s="294"/>
      <c r="O157" s="295"/>
    </row>
    <row r="158" spans="1:15" ht="13.8" customHeight="1" thickBot="1" x14ac:dyDescent="0.35">
      <c r="A158" s="311"/>
      <c r="B158" s="312"/>
      <c r="C158" s="312"/>
      <c r="D158" s="312"/>
      <c r="E158" s="312"/>
      <c r="F158" s="312"/>
      <c r="G158" s="312"/>
      <c r="H158" s="312"/>
      <c r="I158" s="312"/>
      <c r="J158" s="312"/>
      <c r="K158" s="312"/>
      <c r="L158" s="312"/>
      <c r="M158" s="312"/>
      <c r="N158" s="312"/>
      <c r="O158" s="313"/>
    </row>
    <row r="159" spans="1:15" ht="13.8" customHeight="1" thickTop="1" x14ac:dyDescent="0.3"/>
  </sheetData>
  <sheetProtection algorithmName="SHA-512" hashValue="jqoUgjwnKrvnNmUnI+1cPz8aiBdCFAhvV1a/ebcla37ITonXhfUzBUgIc+5Cl35w9voV/jyQYY1GGGwnYKTbvA==" saltValue="zrd/0NzmIzLuXW0RhyiBVg==" spinCount="100000" sheet="1" objects="1" scenarios="1" selectLockedCells="1"/>
  <mergeCells count="24">
    <mergeCell ref="K100:N104"/>
    <mergeCell ref="K128:N131"/>
    <mergeCell ref="B43:E43"/>
    <mergeCell ref="D23:E23"/>
    <mergeCell ref="D24:E24"/>
    <mergeCell ref="B42:E42"/>
    <mergeCell ref="B61:E61"/>
    <mergeCell ref="B74:E74"/>
    <mergeCell ref="B28:E28"/>
    <mergeCell ref="B29:E29"/>
    <mergeCell ref="M47:N47"/>
    <mergeCell ref="M53:N53"/>
    <mergeCell ref="M31:N31"/>
    <mergeCell ref="M36:N36"/>
    <mergeCell ref="B100:E104"/>
    <mergeCell ref="B128:E131"/>
    <mergeCell ref="B87:E87"/>
    <mergeCell ref="G10:I10"/>
    <mergeCell ref="D22:E22"/>
    <mergeCell ref="J10:K10"/>
    <mergeCell ref="C11:N13"/>
    <mergeCell ref="E15:L15"/>
    <mergeCell ref="B17:E17"/>
    <mergeCell ref="H2:I3"/>
  </mergeCells>
  <phoneticPr fontId="79" type="noConversion"/>
  <hyperlinks>
    <hyperlink ref="L3" location="Serviços!H18" display="◄" xr:uid="{2A583554-4DE6-48E4-8D79-EE8B6212A6FF}"/>
  </hyperlinks>
  <printOptions horizontalCentered="1" verticalCentered="1"/>
  <pageMargins left="0.19685039370078741" right="0.19685039370078741" top="0.39370078740157483" bottom="0.59055118110236227" header="0" footer="0"/>
  <pageSetup paperSize="9" orientation="portrait" r:id="rId1"/>
  <rowBreaks count="1" manualBreakCount="1">
    <brk id="9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83"/>
  <sheetViews>
    <sheetView showGridLines="0" zoomScaleNormal="100" workbookViewId="0">
      <selection activeCell="I8" sqref="I8"/>
    </sheetView>
  </sheetViews>
  <sheetFormatPr defaultColWidth="9.109375" defaultRowHeight="12.6" customHeight="1" x14ac:dyDescent="0.2"/>
  <cols>
    <col min="1" max="1" width="27" style="1" bestFit="1" customWidth="1"/>
    <col min="2" max="2" width="3.6640625" style="1" customWidth="1"/>
    <col min="3" max="3" width="9.44140625" style="1" bestFit="1" customWidth="1"/>
    <col min="4" max="4" width="2.33203125" style="1" customWidth="1"/>
    <col min="5" max="5" width="10.44140625" style="1" bestFit="1" customWidth="1"/>
    <col min="6" max="6" width="2.44140625" style="1" customWidth="1"/>
    <col min="7" max="7" width="28.6640625" style="1" bestFit="1" customWidth="1"/>
    <col min="8" max="8" width="1.44140625" style="1" customWidth="1"/>
    <col min="9" max="9" width="30.6640625" style="1" bestFit="1" customWidth="1"/>
    <col min="10" max="10" width="2.109375" style="1" customWidth="1"/>
    <col min="11" max="11" width="14.109375" style="1" bestFit="1" customWidth="1"/>
    <col min="12" max="12" width="1.33203125" style="1" customWidth="1"/>
    <col min="13" max="13" width="24.109375" style="1" bestFit="1" customWidth="1"/>
    <col min="14" max="14" width="1.88671875" style="1" customWidth="1"/>
    <col min="15" max="15" width="30.6640625" style="1" bestFit="1" customWidth="1"/>
    <col min="16" max="16" width="1.44140625" style="1" customWidth="1"/>
    <col min="17" max="17" width="25.6640625" style="1" bestFit="1" customWidth="1"/>
    <col min="18" max="18" width="2.77734375" style="1" customWidth="1"/>
    <col min="19" max="19" width="31.77734375" style="1" bestFit="1" customWidth="1"/>
    <col min="20" max="20" width="3.44140625" style="1" customWidth="1"/>
    <col min="21" max="21" width="22.33203125" style="44" bestFit="1" customWidth="1"/>
    <col min="22" max="22" width="1.88671875" style="1" customWidth="1"/>
    <col min="23" max="23" width="30.33203125" style="1" bestFit="1" customWidth="1"/>
    <col min="24" max="24" width="2.88671875" style="1" customWidth="1"/>
    <col min="25" max="25" width="41.33203125" style="44" bestFit="1" customWidth="1"/>
    <col min="26" max="26" width="6" style="44" customWidth="1"/>
    <col min="27" max="27" width="9.21875" style="44" customWidth="1"/>
    <col min="28" max="16384" width="9.109375" style="44"/>
  </cols>
  <sheetData>
    <row r="1" spans="1:25" ht="12.6" customHeight="1" thickBot="1" x14ac:dyDescent="0.25">
      <c r="A1" s="42" t="str">
        <f>Serviços!$L$1</f>
        <v>Português</v>
      </c>
      <c r="B1" s="128"/>
      <c r="D1" s="3"/>
      <c r="E1" s="13" t="str">
        <f>IF($A$1="Português",E2,IF($A$1="English",E3,IF($A$1="Español",E4,IF($A$1="Français",E5,))))</f>
        <v>unid.</v>
      </c>
      <c r="F1" s="3"/>
      <c r="G1" s="13" t="str">
        <f>IF($A$1="Português",G2,IF($A$1="English",G3,IF($A$1="Español",G4,IF($A$1="Français",G5,))))</f>
        <v>AR COMPRIMIDO</v>
      </c>
      <c r="H1" s="5"/>
      <c r="I1" s="13" t="str">
        <f>IF($A$1="Português",I2,IF($A$1="English",I3,IF($A$1="Español",I4,IF($A$1="Français",I5,))))</f>
        <v xml:space="preserve">Energía   -  Permanente 24 Horas </v>
      </c>
      <c r="J1" s="11"/>
      <c r="K1" s="13" t="str">
        <f>IF($A$1="Português",K2,IF($A$1="English",K3,IF($A$1="Español",K4,IF($A$1="Français",K5,))))</f>
        <v>e o</v>
      </c>
      <c r="L1" s="11"/>
      <c r="M1" s="13" t="str">
        <f>IF($A$1="Português",M2,IF($A$1="English",M3,IF($A$1="Español",M4,IF($A$1="Français",M5,))))</f>
        <v>Nº Contribuinte:</v>
      </c>
      <c r="O1" s="13" t="str">
        <f>IF($A$1="Português",O2,IF($A$1="English",O3,IF($A$1="Español",O4,IF($A$1="Français",O5,))))</f>
        <v>ESTRUTURA DE STAND FIL?</v>
      </c>
      <c r="Q1" s="13" t="str">
        <f>IF($A$1="Português",Q2,IF($A$1="English",Q3,IF($A$1="Español",Q4,IF($A$1="Français",Q5,))))</f>
        <v>Ponto de Água Fria e Esgoto</v>
      </c>
      <c r="S1" s="13" t="str">
        <f>IF($A$1="Português",S2,IF($A$1="English",S3,IF($A$1="Español",S4,IF($A$1="Français",S5,))))</f>
        <v>Cabo de Rede com Internet para 1 PC</v>
      </c>
      <c r="U1" s="13" t="str">
        <f>IF($A$1="Português",U2,IF($A$1="English",U3,IF($A$1="Español",U4,IF($A$1="Français",U5,))))</f>
        <v>NOME A FIGURAR NO STAND</v>
      </c>
      <c r="W1" s="135" t="str">
        <f>IF($A$1="Português",W6,IF($A$1="English",W11,IF($A$1="Español",W16,IF($A$1="Français",W21,))))</f>
        <v>Rede Wi-Fi Premium 5GHz  - 1 Dispositivo</v>
      </c>
      <c r="Y1" s="13" t="str">
        <f>IF($A$1="Português",Y2,IF($A$1="English",Y3,IF($A$1="Español",Y4,IF($A$1="Français",Y5,))))</f>
        <v xml:space="preserve">Calha com 2 Projectores      </v>
      </c>
    </row>
    <row r="2" spans="1:25" ht="12.6" customHeight="1" x14ac:dyDescent="0.2">
      <c r="A2" s="463" t="s">
        <v>1197</v>
      </c>
      <c r="B2" s="395"/>
      <c r="C2" s="396"/>
      <c r="E2" s="8" t="s">
        <v>21</v>
      </c>
      <c r="G2" s="15" t="s">
        <v>271</v>
      </c>
      <c r="H2" s="6"/>
      <c r="I2" s="1" t="s">
        <v>823</v>
      </c>
      <c r="J2" s="3"/>
      <c r="K2" s="1" t="s">
        <v>484</v>
      </c>
      <c r="L2" s="3"/>
      <c r="M2" s="4" t="s">
        <v>0</v>
      </c>
      <c r="O2" s="45" t="s">
        <v>1127</v>
      </c>
      <c r="Q2" s="158" t="s">
        <v>436</v>
      </c>
      <c r="S2" s="58" t="s">
        <v>408</v>
      </c>
      <c r="U2" s="58" t="s">
        <v>154</v>
      </c>
      <c r="W2" s="133" t="str">
        <f>IF($A$1="Português",W7,IF($A$1="English",W12,IF($A$1="Español",W17,IF($A$1="Français",W22,))))</f>
        <v>Rede Wi-Fi Premium 5GHz - 5 Dispositivos</v>
      </c>
      <c r="Y2" s="31" t="s">
        <v>719</v>
      </c>
    </row>
    <row r="3" spans="1:25" ht="12.6" customHeight="1" x14ac:dyDescent="0.2">
      <c r="A3" s="464" t="s">
        <v>1198</v>
      </c>
      <c r="B3" s="465"/>
      <c r="C3" s="466">
        <v>45345</v>
      </c>
      <c r="E3" s="8" t="s">
        <v>22</v>
      </c>
      <c r="G3" s="15" t="s">
        <v>272</v>
      </c>
      <c r="H3" s="4"/>
      <c r="I3" s="1" t="s">
        <v>825</v>
      </c>
      <c r="J3" s="3"/>
      <c r="K3" s="1" t="s">
        <v>485</v>
      </c>
      <c r="L3" s="3"/>
      <c r="M3" s="2" t="s">
        <v>161</v>
      </c>
      <c r="O3" s="45" t="s">
        <v>1128</v>
      </c>
      <c r="Q3" s="158" t="s">
        <v>437</v>
      </c>
      <c r="S3" s="58" t="s">
        <v>409</v>
      </c>
      <c r="U3" s="58" t="s">
        <v>155</v>
      </c>
      <c r="W3" s="133" t="str">
        <f>IF($A$1="Português",W8,IF($A$1="English",W13,IF($A$1="Español",W18,IF($A$1="Français",W23,))))</f>
        <v>Rede Wi-Fi Premium 5GHz - 50 Dispositivos</v>
      </c>
      <c r="Y3" s="31" t="s">
        <v>720</v>
      </c>
    </row>
    <row r="4" spans="1:25" ht="12.6" customHeight="1" x14ac:dyDescent="0.2">
      <c r="A4" s="467" t="s">
        <v>1037</v>
      </c>
      <c r="B4" s="468">
        <v>161</v>
      </c>
      <c r="C4" s="469">
        <f>IF($C$3=0,"0",IF(B4=0,"0",$C$8-B4))</f>
        <v>45189</v>
      </c>
      <c r="E4" s="8" t="s">
        <v>21</v>
      </c>
      <c r="G4" s="15" t="s">
        <v>273</v>
      </c>
      <c r="H4" s="2"/>
      <c r="I4" s="1" t="s">
        <v>823</v>
      </c>
      <c r="J4" s="3"/>
      <c r="K4" s="1" t="s">
        <v>486</v>
      </c>
      <c r="L4" s="3"/>
      <c r="M4" s="2" t="s">
        <v>4</v>
      </c>
      <c r="O4" s="45" t="s">
        <v>1129</v>
      </c>
      <c r="Q4" s="158" t="s">
        <v>438</v>
      </c>
      <c r="S4" s="58" t="s">
        <v>410</v>
      </c>
      <c r="U4" s="58" t="s">
        <v>156</v>
      </c>
      <c r="W4" s="133" t="str">
        <f>IF($A$1="Português",W9,IF($A$1="English",W14,IF($A$1="Español",W19,IF($A$1="Français",W24,))))</f>
        <v>Rede Wi-Fi Premium 5GHz - 100 Dispositivos</v>
      </c>
      <c r="Y4" s="31" t="s">
        <v>721</v>
      </c>
    </row>
    <row r="5" spans="1:25" ht="12.6" customHeight="1" x14ac:dyDescent="0.2">
      <c r="A5" s="470" t="s">
        <v>1083</v>
      </c>
      <c r="B5" s="471">
        <v>161</v>
      </c>
      <c r="C5" s="469">
        <f>IF($C$3=0,"0",IF(B5=0,"0",$C$8-B5))</f>
        <v>45189</v>
      </c>
      <c r="E5" s="8" t="s">
        <v>730</v>
      </c>
      <c r="G5" s="15" t="s">
        <v>274</v>
      </c>
      <c r="H5" s="2"/>
      <c r="I5" s="1" t="s">
        <v>824</v>
      </c>
      <c r="J5" s="3"/>
      <c r="K5" s="3" t="s">
        <v>29</v>
      </c>
      <c r="L5" s="3"/>
      <c r="M5" s="2" t="s">
        <v>27</v>
      </c>
      <c r="O5" s="1" t="s">
        <v>1130</v>
      </c>
      <c r="Q5" s="158" t="s">
        <v>439</v>
      </c>
      <c r="S5" s="58" t="s">
        <v>411</v>
      </c>
      <c r="U5" s="58" t="s">
        <v>157</v>
      </c>
      <c r="W5" s="226" t="str">
        <f>IF($A$1="Português",W10,IF($A$1="English",W15,IF($A$1="Español",W20,IF($A$1="Français",W25,))))</f>
        <v>Rede Wi-Fi Dedicada ao Stand - 50 Dispositivos</v>
      </c>
      <c r="Y5" s="31" t="s">
        <v>722</v>
      </c>
    </row>
    <row r="6" spans="1:25" ht="12.6" customHeight="1" x14ac:dyDescent="0.2">
      <c r="A6" s="472" t="s">
        <v>1192</v>
      </c>
      <c r="B6" s="471">
        <v>30</v>
      </c>
      <c r="C6" s="469">
        <f>IF($C$3=0,"0",IF(B6=0,"0",$C$3-B6))</f>
        <v>45315</v>
      </c>
      <c r="D6" s="3"/>
      <c r="E6" s="13" t="str">
        <f>IF($A$1="Português",E7,IF($A$1="English",E8,IF($A$1="Español",E9,IF($A$1="Français",E10,))))</f>
        <v>Pais:</v>
      </c>
      <c r="F6" s="3"/>
      <c r="G6" s="13" t="str">
        <f>IF($A$1="Português",G7,IF($A$1="English",G8,IF($A$1="Español",G9,IF($A$1="Français",G10,))))</f>
        <v>HOSPEDEIRAS</v>
      </c>
      <c r="H6" s="6"/>
      <c r="I6" s="13" t="str">
        <f>IF($A$1="Português",I7,IF($A$1="English",I8,IF($A$1="Español",I9,IF($A$1="Français",I10,))))</f>
        <v>Tomada Tripla Monofásica 10A</v>
      </c>
      <c r="J6" s="3"/>
      <c r="K6" s="13" t="str">
        <f>IF($A$1="Português",K7,IF($A$1="English",K8,IF($A$1="Español",K9,IF($A$1="Français",K10,))))</f>
        <v>Data:</v>
      </c>
      <c r="L6" s="3"/>
      <c r="M6" s="13" t="str">
        <f>IF($A$1="Português",M7,IF($A$1="English",M8,IF($A$1="Español",M9,IF($A$1="Français",M10,))))</f>
        <v>Data limite de Inscrição até:</v>
      </c>
      <c r="O6" s="13" t="str">
        <f>IF($A$1="Português",O7,IF($A$1="English",O8,IF($A$1="Español",O9,IF($A$1="Français",O10,))))</f>
        <v>Cor da Alcatifa:</v>
      </c>
      <c r="Q6" s="13" t="str">
        <f>IF($A$1="Português",Q7,IF($A$1="English",Q8,IF($A$1="Español",Q9,IF($A$1="Français",Q10,))))</f>
        <v>Lava-mãos com Kit de Higienização</v>
      </c>
      <c r="S6" s="13" t="str">
        <f>IF($A$1="Português",S7,IF($A$1="English",S8,IF($A$1="Español",S9,IF($A$1="Français",S10,))))</f>
        <v>BILHETES ELECTRÓNICOS</v>
      </c>
      <c r="U6" s="13" t="str">
        <f>IF($A$1="Português",U7,IF($A$1="English",U8,IF($A$1="Español",U9,IF($A$1="Français",U10,))))</f>
        <v>Banco alto branco CONCHA</v>
      </c>
      <c r="W6" s="127" t="s">
        <v>412</v>
      </c>
      <c r="Y6" s="13" t="str">
        <f>IF($A$1="Português",Y7,IF($A$1="English",Y8,IF($A$1="Español",Y9,IF($A$1="Français",Y10,))))</f>
        <v>Impressão Digital na Pala</v>
      </c>
    </row>
    <row r="7" spans="1:25" ht="12.6" customHeight="1" x14ac:dyDescent="0.2">
      <c r="A7" s="473" t="s">
        <v>1199</v>
      </c>
      <c r="B7" s="471">
        <v>20</v>
      </c>
      <c r="C7" s="469">
        <f>IF($C$3=0,"0",IF(B7=0,"0",$C$3-B7))</f>
        <v>45325</v>
      </c>
      <c r="D7" s="21"/>
      <c r="E7" s="2" t="s">
        <v>3</v>
      </c>
      <c r="F7" s="21"/>
      <c r="G7" s="2" t="s">
        <v>283</v>
      </c>
      <c r="I7" s="2" t="s">
        <v>1203</v>
      </c>
      <c r="J7" s="3"/>
      <c r="K7" s="2" t="s">
        <v>1</v>
      </c>
      <c r="L7" s="3"/>
      <c r="M7" s="1" t="s">
        <v>1163</v>
      </c>
      <c r="O7" s="58" t="s">
        <v>57</v>
      </c>
      <c r="Q7" s="59" t="s">
        <v>195</v>
      </c>
      <c r="S7" s="77" t="s">
        <v>220</v>
      </c>
      <c r="U7" s="1" t="s">
        <v>604</v>
      </c>
      <c r="W7" s="127" t="s">
        <v>413</v>
      </c>
      <c r="Y7" s="15" t="s">
        <v>674</v>
      </c>
    </row>
    <row r="8" spans="1:25" ht="12.6" customHeight="1" x14ac:dyDescent="0.2">
      <c r="A8" s="474" t="s">
        <v>1036</v>
      </c>
      <c r="B8" s="475"/>
      <c r="C8" s="476">
        <v>45350</v>
      </c>
      <c r="D8" s="21"/>
      <c r="E8" s="2" t="s">
        <v>5</v>
      </c>
      <c r="F8" s="21"/>
      <c r="G8" s="2" t="s">
        <v>284</v>
      </c>
      <c r="I8" s="2" t="s">
        <v>1204</v>
      </c>
      <c r="J8" s="46"/>
      <c r="K8" s="2" t="s">
        <v>10</v>
      </c>
      <c r="L8" s="46"/>
      <c r="M8" s="1" t="s">
        <v>1164</v>
      </c>
      <c r="O8" s="58" t="s">
        <v>202</v>
      </c>
      <c r="Q8" s="59" t="s">
        <v>198</v>
      </c>
      <c r="S8" s="77" t="s">
        <v>221</v>
      </c>
      <c r="U8" s="1" t="s">
        <v>605</v>
      </c>
      <c r="W8" s="127" t="s">
        <v>414</v>
      </c>
      <c r="Y8" s="15" t="s">
        <v>675</v>
      </c>
    </row>
    <row r="9" spans="1:25" ht="12.6" customHeight="1" x14ac:dyDescent="0.2">
      <c r="A9" s="474" t="s">
        <v>1038</v>
      </c>
      <c r="B9" s="477">
        <v>1.5</v>
      </c>
      <c r="C9" s="469">
        <f t="shared" ref="C9:C10" si="0">IF($C$8=0,"0",IF(B9=0,"0",$C$8-B9))</f>
        <v>45348.5</v>
      </c>
      <c r="D9" s="21"/>
      <c r="E9" s="2" t="s">
        <v>3</v>
      </c>
      <c r="F9" s="21"/>
      <c r="G9" s="2" t="s">
        <v>285</v>
      </c>
      <c r="I9" s="2" t="s">
        <v>1205</v>
      </c>
      <c r="J9" s="28"/>
      <c r="K9" s="2" t="s">
        <v>11</v>
      </c>
      <c r="L9" s="28"/>
      <c r="M9" s="1" t="s">
        <v>1165</v>
      </c>
      <c r="O9" s="58" t="s">
        <v>58</v>
      </c>
      <c r="Q9" s="59" t="s">
        <v>196</v>
      </c>
      <c r="S9" s="77" t="s">
        <v>219</v>
      </c>
      <c r="U9" s="1" t="s">
        <v>606</v>
      </c>
      <c r="W9" s="127" t="s">
        <v>415</v>
      </c>
      <c r="Y9" s="15" t="s">
        <v>676</v>
      </c>
    </row>
    <row r="10" spans="1:25" ht="12.6" customHeight="1" thickBot="1" x14ac:dyDescent="0.25">
      <c r="A10" s="467" t="s">
        <v>1200</v>
      </c>
      <c r="B10" s="468">
        <v>1</v>
      </c>
      <c r="C10" s="469">
        <f t="shared" si="0"/>
        <v>45349</v>
      </c>
      <c r="E10" s="2" t="s">
        <v>26</v>
      </c>
      <c r="G10" s="201" t="s">
        <v>286</v>
      </c>
      <c r="H10" s="6"/>
      <c r="I10" s="2" t="s">
        <v>1206</v>
      </c>
      <c r="J10" s="28"/>
      <c r="K10" s="2" t="s">
        <v>10</v>
      </c>
      <c r="L10" s="28"/>
      <c r="M10" s="1" t="s">
        <v>1166</v>
      </c>
      <c r="O10" s="58" t="s">
        <v>60</v>
      </c>
      <c r="Q10" s="2" t="s">
        <v>197</v>
      </c>
      <c r="S10" s="77" t="s">
        <v>222</v>
      </c>
      <c r="U10" s="2" t="s">
        <v>607</v>
      </c>
      <c r="W10" s="127" t="s">
        <v>416</v>
      </c>
      <c r="Y10" s="15" t="s">
        <v>677</v>
      </c>
    </row>
    <row r="11" spans="1:25" ht="12.6" customHeight="1" thickTop="1" thickBot="1" x14ac:dyDescent="0.25">
      <c r="A11" s="478" t="s">
        <v>1201</v>
      </c>
      <c r="B11" s="479">
        <f>C11-C8+1</f>
        <v>5</v>
      </c>
      <c r="C11" s="480">
        <v>45354</v>
      </c>
      <c r="D11" s="3"/>
      <c r="E11" s="13" t="str">
        <f>IF($A$1="Português",E12,IF($A$1="English",E13,IF($A$1="Español",E14,IF($A$1="Français",E15,))))</f>
        <v>Enviar para:</v>
      </c>
      <c r="F11" s="3"/>
      <c r="G11" s="13" t="str">
        <f>IF($A$1="Português",G12,IF($A$1="English",G13,IF($A$1="Español",G14,IF($A$1="Français",G15,))))</f>
        <v>CAIXA DE LUZ   (2/2)</v>
      </c>
      <c r="I11" s="13" t="str">
        <f>IF($A$1="Português",I12,IF($A$1="English",I13,IF($A$1="Español",I14,IF($A$1="Français",I15,))))</f>
        <v>Puxada Eléctrica    -    Suplementar</v>
      </c>
      <c r="J11" s="28"/>
      <c r="K11" s="13" t="str">
        <f>IF($A$1="Português",K12,IF($A$1="English",K13,IF($A$1="Español",K14,IF($A$1="Français",K15,))))</f>
        <v>Valor</v>
      </c>
      <c r="L11" s="28"/>
      <c r="M11" s="13" t="str">
        <f>IF($A$1="Português",M12,IF($A$1="English",M13,IF($A$1="Español",M14,IF($A$1="Français",M15,))))</f>
        <v>REQUISIÇÃO DE STAND E SERVIÇOS FIL</v>
      </c>
      <c r="O11" s="13" t="str">
        <f>IF($A$1="Português",O12,IF($A$1="English",O13,IF($A$1="Español",O14,IF($A$1="Français",O15,))))</f>
        <v xml:space="preserve">VIGILÂNCIA </v>
      </c>
      <c r="Q11" s="13" t="str">
        <f>IF($A$1="Português",Q12,IF($A$1="English",Q13,IF($A$1="Español",Q14,IF($A$1="Français",Q15,))))</f>
        <v>Lava-loiça com bancada</v>
      </c>
      <c r="S11" s="13" t="str">
        <f>IF($A$1="Português",S12,IF($A$1="English",S13,IF($A$1="Español",S14,IF($A$1="Français",S15,))))</f>
        <v>(Inclui ponto de rede)</v>
      </c>
      <c r="U11" s="13" t="str">
        <f>IF($A$1="Português",U12,IF($A$1="English",U13,IF($A$1="Español",U14,IF($A$1="Français",U15,))))</f>
        <v>Porta folhetos 5 bolsas A4</v>
      </c>
      <c r="W11" s="141" t="s">
        <v>417</v>
      </c>
      <c r="Y11" s="13" t="str">
        <f>IF($A$1="Português",Y12,IF($A$1="English",Y13,IF($A$1="Español",Y14,IF($A$1="Français",Y15,))))</f>
        <v>Impressão Digital no Balcão</v>
      </c>
    </row>
    <row r="12" spans="1:25" ht="12.6" customHeight="1" thickTop="1" x14ac:dyDescent="0.2">
      <c r="A12" s="481" t="s">
        <v>1202</v>
      </c>
      <c r="B12" s="482">
        <v>1</v>
      </c>
      <c r="C12" s="469">
        <f>IF(C11=0,"0",$C$11+$B$12)</f>
        <v>45355</v>
      </c>
      <c r="E12" s="4" t="s">
        <v>31</v>
      </c>
      <c r="G12" s="1" t="s">
        <v>1027</v>
      </c>
      <c r="I12" s="2" t="s">
        <v>826</v>
      </c>
      <c r="J12" s="28"/>
      <c r="K12" s="2" t="s">
        <v>15</v>
      </c>
      <c r="L12" s="28"/>
      <c r="M12" s="17" t="s">
        <v>1187</v>
      </c>
      <c r="O12" s="2" t="s">
        <v>327</v>
      </c>
      <c r="Q12" s="158" t="s">
        <v>191</v>
      </c>
      <c r="S12" s="199" t="s">
        <v>595</v>
      </c>
      <c r="U12" s="2" t="s">
        <v>178</v>
      </c>
      <c r="W12" s="141" t="s">
        <v>418</v>
      </c>
      <c r="Y12" s="58" t="s">
        <v>678</v>
      </c>
    </row>
    <row r="13" spans="1:25" ht="12.6" customHeight="1" x14ac:dyDescent="0.2">
      <c r="A13" s="481" t="s">
        <v>1039</v>
      </c>
      <c r="B13" s="483"/>
      <c r="C13" s="480">
        <v>45357</v>
      </c>
      <c r="E13" s="4" t="s">
        <v>32</v>
      </c>
      <c r="G13" s="1" t="s">
        <v>1028</v>
      </c>
      <c r="I13" s="2" t="s">
        <v>827</v>
      </c>
      <c r="J13" s="28"/>
      <c r="K13" s="2" t="s">
        <v>16</v>
      </c>
      <c r="L13" s="28"/>
      <c r="M13" s="17" t="s">
        <v>1190</v>
      </c>
      <c r="O13" s="2" t="s">
        <v>328</v>
      </c>
      <c r="Q13" s="158" t="s">
        <v>192</v>
      </c>
      <c r="S13" s="199" t="s">
        <v>596</v>
      </c>
      <c r="U13" s="2" t="s">
        <v>179</v>
      </c>
      <c r="W13" s="141" t="s">
        <v>419</v>
      </c>
      <c r="Y13" s="58" t="s">
        <v>679</v>
      </c>
    </row>
    <row r="14" spans="1:25" ht="12.6" customHeight="1" x14ac:dyDescent="0.2">
      <c r="A14" s="484" t="s">
        <v>1040</v>
      </c>
      <c r="B14" s="485"/>
      <c r="C14" s="486">
        <v>8.1300000000000008</v>
      </c>
      <c r="E14" s="4" t="s">
        <v>33</v>
      </c>
      <c r="G14" s="1" t="s">
        <v>1029</v>
      </c>
      <c r="H14" s="109"/>
      <c r="I14" s="2" t="s">
        <v>828</v>
      </c>
      <c r="J14" s="28"/>
      <c r="K14" s="2" t="s">
        <v>15</v>
      </c>
      <c r="L14" s="28"/>
      <c r="M14" s="17" t="s">
        <v>1188</v>
      </c>
      <c r="O14" s="2" t="s">
        <v>329</v>
      </c>
      <c r="Q14" s="158" t="s">
        <v>193</v>
      </c>
      <c r="S14" s="199" t="s">
        <v>597</v>
      </c>
      <c r="U14" s="2" t="s">
        <v>180</v>
      </c>
      <c r="W14" s="141" t="s">
        <v>420</v>
      </c>
      <c r="Y14" s="58" t="s">
        <v>680</v>
      </c>
    </row>
    <row r="15" spans="1:25" ht="12.6" customHeight="1" thickBot="1" x14ac:dyDescent="0.25">
      <c r="A15" s="487" t="s">
        <v>1041</v>
      </c>
      <c r="B15" s="488">
        <v>10</v>
      </c>
      <c r="C15" s="489">
        <v>12.2</v>
      </c>
      <c r="D15" s="2"/>
      <c r="E15" s="4" t="s">
        <v>116</v>
      </c>
      <c r="F15" s="2"/>
      <c r="G15" s="1" t="s">
        <v>1030</v>
      </c>
      <c r="H15" s="4"/>
      <c r="I15" s="1" t="s">
        <v>829</v>
      </c>
      <c r="J15" s="27"/>
      <c r="K15" s="2" t="s">
        <v>25</v>
      </c>
      <c r="L15" s="27"/>
      <c r="M15" s="17" t="s">
        <v>1189</v>
      </c>
      <c r="O15" s="2" t="s">
        <v>328</v>
      </c>
      <c r="Q15" s="158" t="s">
        <v>194</v>
      </c>
      <c r="S15" s="199" t="s">
        <v>598</v>
      </c>
      <c r="U15" s="2" t="s">
        <v>181</v>
      </c>
      <c r="W15" s="142" t="s">
        <v>421</v>
      </c>
      <c r="Y15" s="58" t="s">
        <v>681</v>
      </c>
    </row>
    <row r="16" spans="1:25" ht="12.6" customHeight="1" x14ac:dyDescent="0.2">
      <c r="A16" s="180"/>
      <c r="D16" s="3"/>
      <c r="E16" s="13" t="str">
        <f>IF($A$1="Português",E17,IF($A$1="English",E18,IF($A$1="Español",E19,IF($A$1="Français",E20,))))</f>
        <v>Outro</v>
      </c>
      <c r="F16" s="3"/>
      <c r="G16" s="13" t="str">
        <f>IF($A$1="Português",G17,IF($A$1="English",G18,IF($A$1="Español",G19,IF($A$1="Français",G20,))))</f>
        <v>LIMPEZA DE STAND</v>
      </c>
      <c r="H16" s="2"/>
      <c r="I16" s="13" t="str">
        <f>IF($A$1="Português",I17,IF($A$1="English",I18,IF($A$1="Español",I19,IF($A$1="Français",I20,))))</f>
        <v>Nome da Empresa Expositora:</v>
      </c>
      <c r="K16" s="13" t="str">
        <f>IF($A$1="Português",K17,IF($A$1="English",K18,IF($A$1="Español",K19,IF($A$1="Français",K20,))))</f>
        <v>Projecto Especial FIL</v>
      </c>
      <c r="M16" s="13" t="str">
        <f>IF($A$1="Português",M17,IF($A$1="English",M18,IF($A$1="Español",M19,IF($A$1="Français",M20,))))</f>
        <v>PARQUE SUBTERRÂNEO</v>
      </c>
      <c r="O16" s="13" t="str">
        <f>IF($A$1="Português",O17,IF($A$1="English",O18,IF($A$1="Español",O19,IF($A$1="Français",O20,))))</f>
        <v>PRETENDE ALTERAR A COR DA ALCATIFA?</v>
      </c>
      <c r="Q16" s="13" t="str">
        <f>IF($A$1="Português",Q17,IF($A$1="English",Q18,IF($A$1="Español",Q19,IF($A$1="Français",Q20,))))</f>
        <v>Ligação de Lava-loiça do Expositor</v>
      </c>
      <c r="S16" s="13" t="str">
        <f>IF($A$1="Português",S17,IF($A$1="English",S18,IF($A$1="Español",S19,IF($A$1="Français",S20,))))</f>
        <v xml:space="preserve">ALCATIFA </v>
      </c>
      <c r="U16" s="13" t="str">
        <f>IF($A$1="Português",U17,IF($A$1="English",U18,IF($A$1="Español",U19,IF($A$1="Français",U20,))))</f>
        <v>MOBILIÁRIO / MATERIAL</v>
      </c>
      <c r="W16" s="127" t="s">
        <v>422</v>
      </c>
      <c r="Y16" s="13" t="str">
        <f>IF($A$1="Português",Y17,IF($A$1="English",Y18,IF($A$1="Español",Y19,IF($A$1="Français",Y20,))))</f>
        <v>Impressão Digital no Balcão FIL A</v>
      </c>
    </row>
    <row r="17" spans="1:25" ht="12.6" customHeight="1" x14ac:dyDescent="0.2">
      <c r="A17" s="13" t="str">
        <f>IF($A$1="Português",A18,IF($A$1="English",A19,IF($A$1="Español",A20,IF($A$1="Français",A21,))))</f>
        <v>28 de Fevereiro a 03 de Março de 2024</v>
      </c>
      <c r="D17" s="28"/>
      <c r="E17" s="158" t="s">
        <v>319</v>
      </c>
      <c r="F17" s="28"/>
      <c r="G17" s="4" t="s">
        <v>81</v>
      </c>
      <c r="H17" s="2"/>
      <c r="I17" s="23" t="s">
        <v>1079</v>
      </c>
      <c r="K17" s="17" t="s">
        <v>642</v>
      </c>
      <c r="M17" s="15" t="s">
        <v>254</v>
      </c>
      <c r="O17" s="45" t="s">
        <v>381</v>
      </c>
      <c r="Q17" s="28" t="s">
        <v>199</v>
      </c>
      <c r="S17" s="15" t="s">
        <v>366</v>
      </c>
      <c r="U17" s="58" t="s">
        <v>396</v>
      </c>
      <c r="W17" s="127" t="s">
        <v>423</v>
      </c>
      <c r="Y17" s="58" t="s">
        <v>999</v>
      </c>
    </row>
    <row r="18" spans="1:25" ht="12.6" customHeight="1" x14ac:dyDescent="0.2">
      <c r="A18" s="461" t="s">
        <v>1193</v>
      </c>
      <c r="E18" s="158" t="s">
        <v>320</v>
      </c>
      <c r="G18" s="4" t="s">
        <v>82</v>
      </c>
      <c r="H18" s="6"/>
      <c r="I18" s="17" t="s">
        <v>1080</v>
      </c>
      <c r="K18" s="17" t="s">
        <v>643</v>
      </c>
      <c r="M18" s="2" t="s">
        <v>474</v>
      </c>
      <c r="O18" s="45" t="s">
        <v>392</v>
      </c>
      <c r="Q18" s="28" t="s">
        <v>200</v>
      </c>
      <c r="S18" s="15" t="s">
        <v>367</v>
      </c>
      <c r="U18" s="58" t="s">
        <v>397</v>
      </c>
      <c r="W18" s="127" t="s">
        <v>424</v>
      </c>
      <c r="Y18" s="58" t="s">
        <v>1000</v>
      </c>
    </row>
    <row r="19" spans="1:25" ht="12.6" customHeight="1" x14ac:dyDescent="0.2">
      <c r="A19" s="462" t="s">
        <v>1194</v>
      </c>
      <c r="E19" s="158" t="s">
        <v>321</v>
      </c>
      <c r="G19" s="4" t="s">
        <v>83</v>
      </c>
      <c r="H19" s="4"/>
      <c r="I19" s="23" t="s">
        <v>1081</v>
      </c>
      <c r="K19" s="17" t="s">
        <v>644</v>
      </c>
      <c r="M19" s="2" t="s">
        <v>475</v>
      </c>
      <c r="O19" s="45" t="s">
        <v>382</v>
      </c>
      <c r="P19" s="2"/>
      <c r="Q19" s="28" t="s">
        <v>201</v>
      </c>
      <c r="R19" s="2"/>
      <c r="S19" s="15" t="s">
        <v>368</v>
      </c>
      <c r="T19" s="2"/>
      <c r="U19" s="58" t="s">
        <v>398</v>
      </c>
      <c r="W19" s="127" t="s">
        <v>425</v>
      </c>
      <c r="Y19" s="58" t="s">
        <v>1001</v>
      </c>
    </row>
    <row r="20" spans="1:25" ht="12.6" customHeight="1" x14ac:dyDescent="0.2">
      <c r="A20" s="462" t="s">
        <v>1195</v>
      </c>
      <c r="B20" s="7"/>
      <c r="C20" s="13" t="str">
        <f>IF($A$1="Português",C21,IF($A$1="English",C22,IF($A$1="Español",C23,IF($A$1="Français",C24,))))</f>
        <v>Assinatura:</v>
      </c>
      <c r="D20" s="28"/>
      <c r="E20" s="158" t="s">
        <v>322</v>
      </c>
      <c r="F20" s="28"/>
      <c r="G20" s="15" t="s">
        <v>84</v>
      </c>
      <c r="H20" s="2"/>
      <c r="I20" s="17" t="s">
        <v>1082</v>
      </c>
      <c r="K20" s="17" t="s">
        <v>645</v>
      </c>
      <c r="M20" s="2" t="s">
        <v>255</v>
      </c>
      <c r="O20" s="1" t="s">
        <v>387</v>
      </c>
      <c r="P20" s="44"/>
      <c r="Q20" s="2" t="s">
        <v>1088</v>
      </c>
      <c r="S20" s="15" t="s">
        <v>369</v>
      </c>
      <c r="T20" s="44"/>
      <c r="U20" s="58" t="s">
        <v>399</v>
      </c>
      <c r="W20" s="127" t="s">
        <v>426</v>
      </c>
      <c r="Y20" s="58" t="s">
        <v>1002</v>
      </c>
    </row>
    <row r="21" spans="1:25" ht="12.6" customHeight="1" x14ac:dyDescent="0.2">
      <c r="A21" s="17" t="s">
        <v>1196</v>
      </c>
      <c r="B21" s="8"/>
      <c r="C21" s="2" t="s">
        <v>12</v>
      </c>
      <c r="D21" s="3"/>
      <c r="E21" s="13" t="str">
        <f>IF($A$1="Português",E22,IF($A$1="English",E23,IF($A$1="Español",E24,IF($A$1="Français",E25,))))</f>
        <v>Observações:</v>
      </c>
      <c r="F21" s="3"/>
      <c r="G21" s="13" t="str">
        <f>IF($A$1="Português",G22,IF($A$1="English",G23,IF($A$1="Español",G24,IF($A$1="Français",G25,))))</f>
        <v>Impressão Digital na Placa</v>
      </c>
      <c r="H21" s="6"/>
      <c r="I21" s="13" t="str">
        <f>IF($A$1="Português",I22,IF($A$1="English",I23,IF($A$1="Español",I24,IF($A$1="Français",I25,))))</f>
        <v>CONTENTOR PARA LIXO DESMONTAGEM</v>
      </c>
      <c r="K21" s="13" t="str">
        <f>IF($A$1="Português",K22,IF($A$1="English",K23,IF($A$1="Español",K24,IF($A$1="Français",K25,))))</f>
        <v>(Sob Orçamento)</v>
      </c>
      <c r="M21" s="13" t="str">
        <f>IF($A$1="Português",M22,IF($A$1="English",M23,IF($A$1="Español",M24,IF($A$1="Français",M25,))))</f>
        <v>TOTAL DA REQUISIÇÃO</v>
      </c>
      <c r="O21" s="13" t="str">
        <f>IF($A$1="Português",O22,IF($A$1="English",O23,IF($A$1="Español",O24,IF($A$1="Français",O25,))))</f>
        <v>REQUINTE sem Torre</v>
      </c>
      <c r="P21" s="44"/>
      <c r="Q21" s="13" t="str">
        <f>IF($A$1="Português",Q22,IF($A$1="English",Q23,IF($A$1="Español",Q24,IF($A$1="Français",Q25,))))</f>
        <v>Restante Pagamento até:</v>
      </c>
      <c r="S21" s="13" t="str">
        <f>IF($A$1="Português",S22,IF($A$1="English",S23,IF($A$1="Español",S24,IF($A$1="Français",S25,))))</f>
        <v xml:space="preserve">ESTRADOS </v>
      </c>
      <c r="T21" s="44"/>
      <c r="U21" s="13" t="str">
        <f>IF($A$1="Português",U22,IF($A$1="English",U23,IF($A$1="Español",U24,IF($A$1="Français",U25,))))</f>
        <v>MATERIAL GRÁFICO</v>
      </c>
      <c r="W21" s="143" t="s">
        <v>427</v>
      </c>
      <c r="Y21" s="13" t="str">
        <f>IF($A$1="Português",Y22,IF($A$1="English",Y23,IF($A$1="Español",Y24,IF($A$1="Français",Y25,))))</f>
        <v>Impressão Digital no Balcão FIL B</v>
      </c>
    </row>
    <row r="22" spans="1:25" ht="12.6" customHeight="1" x14ac:dyDescent="0.2">
      <c r="A22" s="180"/>
      <c r="B22" s="8"/>
      <c r="C22" s="2" t="s">
        <v>13</v>
      </c>
      <c r="E22" s="158" t="s">
        <v>323</v>
      </c>
      <c r="G22" s="15" t="s">
        <v>1007</v>
      </c>
      <c r="H22" s="4"/>
      <c r="I22" s="2" t="s">
        <v>811</v>
      </c>
      <c r="J22" s="27"/>
      <c r="K22" s="15" t="s">
        <v>383</v>
      </c>
      <c r="L22" s="27"/>
      <c r="M22" s="1" t="s">
        <v>480</v>
      </c>
      <c r="O22" s="2" t="s">
        <v>646</v>
      </c>
      <c r="P22" s="44"/>
      <c r="Q22" s="1" t="s">
        <v>914</v>
      </c>
      <c r="S22" s="2" t="s">
        <v>445</v>
      </c>
      <c r="T22" s="44"/>
      <c r="U22" s="28" t="s">
        <v>393</v>
      </c>
      <c r="W22" s="143" t="s">
        <v>428</v>
      </c>
      <c r="Y22" s="58" t="s">
        <v>1003</v>
      </c>
    </row>
    <row r="23" spans="1:25" ht="12.6" customHeight="1" x14ac:dyDescent="0.2">
      <c r="A23" s="135" t="str">
        <f>IF($A$1="Português",A27,IF($A$1="English",A31,IF($A$1="Español",A35,IF($A$1="Français",A39,))))</f>
        <v>no Solo</v>
      </c>
      <c r="B23" s="7"/>
      <c r="C23" s="2" t="s">
        <v>14</v>
      </c>
      <c r="E23" s="158" t="s">
        <v>324</v>
      </c>
      <c r="G23" s="15" t="s">
        <v>1008</v>
      </c>
      <c r="H23" s="2"/>
      <c r="I23" s="2" t="s">
        <v>665</v>
      </c>
      <c r="K23" s="15" t="s">
        <v>384</v>
      </c>
      <c r="M23" s="1" t="s">
        <v>481</v>
      </c>
      <c r="O23" s="2" t="s">
        <v>647</v>
      </c>
      <c r="P23" s="2"/>
      <c r="Q23" s="1" t="s">
        <v>915</v>
      </c>
      <c r="S23" s="2" t="s">
        <v>446</v>
      </c>
      <c r="T23" s="2"/>
      <c r="U23" s="28" t="s">
        <v>394</v>
      </c>
      <c r="W23" s="143" t="s">
        <v>429</v>
      </c>
      <c r="Y23" s="58" t="s">
        <v>1004</v>
      </c>
    </row>
    <row r="24" spans="1:25" ht="12.6" customHeight="1" x14ac:dyDescent="0.2">
      <c r="A24" s="133" t="str">
        <f>IF($A$1="Português",A28,IF($A$1="English",A32,IF($A$1="Español",A36,IF($A$1="Français",A40,))))</f>
        <v>no Estrado do Expositor</v>
      </c>
      <c r="B24" s="3"/>
      <c r="C24" s="2" t="s">
        <v>13</v>
      </c>
      <c r="D24" s="14"/>
      <c r="E24" s="158" t="s">
        <v>325</v>
      </c>
      <c r="F24" s="14"/>
      <c r="G24" s="15" t="s">
        <v>1009</v>
      </c>
      <c r="H24" s="2"/>
      <c r="I24" s="2" t="s">
        <v>812</v>
      </c>
      <c r="K24" s="15" t="s">
        <v>385</v>
      </c>
      <c r="M24" s="1" t="s">
        <v>482</v>
      </c>
      <c r="O24" s="2" t="s">
        <v>648</v>
      </c>
      <c r="Q24" s="1" t="s">
        <v>916</v>
      </c>
      <c r="S24" s="2" t="s">
        <v>447</v>
      </c>
      <c r="U24" s="28" t="s">
        <v>393</v>
      </c>
      <c r="W24" s="143" t="s">
        <v>430</v>
      </c>
      <c r="Y24" s="58" t="s">
        <v>1005</v>
      </c>
    </row>
    <row r="25" spans="1:25" ht="12.6" customHeight="1" x14ac:dyDescent="0.2">
      <c r="A25" s="133" t="str">
        <f>IF($A$1="Português",A29,IF($A$1="English",A33,IF($A$1="Español",A37,IF($A$1="Français",A41,))))</f>
        <v>com Recortes de Côr</v>
      </c>
      <c r="B25" s="3"/>
      <c r="C25" s="13" t="str">
        <f>IF($A$1="Português",C26,IF($A$1="English",C27,IF($A$1="Español",C28,IF($A$1="Français",C29,))))</f>
        <v>Ler+</v>
      </c>
      <c r="D25" s="3"/>
      <c r="E25" s="158" t="s">
        <v>326</v>
      </c>
      <c r="F25" s="3"/>
      <c r="G25" s="15" t="s">
        <v>1010</v>
      </c>
      <c r="H25" s="6"/>
      <c r="I25" s="2" t="s">
        <v>813</v>
      </c>
      <c r="J25" s="28"/>
      <c r="K25" s="15" t="s">
        <v>386</v>
      </c>
      <c r="L25" s="28"/>
      <c r="M25" s="1" t="s">
        <v>483</v>
      </c>
      <c r="O25" s="2" t="s">
        <v>649</v>
      </c>
      <c r="Q25" s="1" t="s">
        <v>917</v>
      </c>
      <c r="S25" s="2" t="s">
        <v>448</v>
      </c>
      <c r="U25" s="28" t="s">
        <v>395</v>
      </c>
      <c r="W25" s="144" t="s">
        <v>431</v>
      </c>
      <c r="Y25" s="58" t="s">
        <v>1006</v>
      </c>
    </row>
    <row r="26" spans="1:25" ht="12.6" customHeight="1" x14ac:dyDescent="0.2">
      <c r="A26" s="226" t="str">
        <f>IF($A$1="Português",A30,IF($A$1="English",A34,IF($A$1="Español",A38,IF($A$1="Français",A42,))))</f>
        <v>com Impressão de Logotipo</v>
      </c>
      <c r="B26" s="7"/>
      <c r="C26" s="15" t="s">
        <v>1096</v>
      </c>
      <c r="D26" s="3"/>
      <c r="E26" s="13" t="str">
        <f>IF($A$1="Português",E27,IF($A$1="English",E28,IF($A$1="Español",E29,IF($A$1="Français",E30,))))</f>
        <v>para:</v>
      </c>
      <c r="F26" s="3"/>
      <c r="G26" s="13" t="str">
        <f>IF($A$1="Português",G27,IF($A$1="English",G28,IF($A$1="Español",G29,IF($A$1="Français",G30,))))</f>
        <v>IVA (ler Normas)</v>
      </c>
      <c r="I26" s="13" t="str">
        <f>IF($A$1="Português",I27,IF($A$1="English",I28,IF($A$1="Español",I29,IF($A$1="Français",I30,))))</f>
        <v>REMOÇÃO DE LIXOS POR M3     (Avulso)</v>
      </c>
      <c r="K26" s="13" t="str">
        <f>IF($A$1="Português",K27,IF($A$1="English",K28,IF($A$1="Español",K29,IF($A$1="Français",K30,))))</f>
        <v>COM Alcatifa</v>
      </c>
      <c r="M26" s="13" t="str">
        <f>IF($A$1="Português",M27,IF($A$1="English",M28,IF($A$1="Español",M29,IF($A$1="Français",M30,))))</f>
        <v>ESPAÇO  -  2º Piso</v>
      </c>
      <c r="O26" s="13" t="str">
        <f>IF($A$1="Português",O27,IF($A$1="English",O28,IF($A$1="Español",O29,IF($A$1="Français",O30,))))</f>
        <v>REQUINTE com Torre</v>
      </c>
      <c r="Q26" s="13" t="str">
        <f>IF($A$1="Português",Q27,IF($A$1="English",Q28,IF($A$1="Español",Q29,IF($A$1="Français",Q30,))))</f>
        <v>Serviços FIL:</v>
      </c>
      <c r="S26" s="13" t="str">
        <f>IF($A$1="Português",S27,IF($A$1="English",S28,IF($A$1="Español",S29,IF($A$1="Français",S30,))))</f>
        <v>INSTALAÇÕES ELÉCTRICAS</v>
      </c>
      <c r="U26" s="13" t="str">
        <f>IF($A$1="Português",U27,IF($A$1="English",U28,IF($A$1="Español",U29,IF($A$1="Français",U30,))))</f>
        <v>(Adicional para Stands FIL)</v>
      </c>
      <c r="Y26" s="13" t="str">
        <f>IF($A$1="Português",Y27,IF($A$1="English",Y28,IF($A$1="Español",Y29,IF($A$1="Français",Y30,))))</f>
        <v>Impressão Digital no Balcão FIL C</v>
      </c>
    </row>
    <row r="27" spans="1:25" ht="12.6" customHeight="1" x14ac:dyDescent="0.2">
      <c r="A27" s="150" t="s">
        <v>128</v>
      </c>
      <c r="B27" s="2"/>
      <c r="C27" s="15" t="s">
        <v>1097</v>
      </c>
      <c r="D27" s="4"/>
      <c r="E27" s="15" t="s">
        <v>91</v>
      </c>
      <c r="F27" s="4"/>
      <c r="G27" s="85" t="s">
        <v>1108</v>
      </c>
      <c r="H27" s="2"/>
      <c r="I27" s="1" t="s">
        <v>814</v>
      </c>
      <c r="K27" s="2" t="s">
        <v>400</v>
      </c>
      <c r="M27" s="1" t="s">
        <v>476</v>
      </c>
      <c r="O27" s="2" t="s">
        <v>650</v>
      </c>
      <c r="Q27" s="17" t="s">
        <v>1084</v>
      </c>
      <c r="S27" s="8" t="s">
        <v>71</v>
      </c>
      <c r="U27" s="58" t="s">
        <v>1133</v>
      </c>
      <c r="W27" s="13" t="str">
        <f>IF($A$1="Português",W28,IF($A$1="English",W29,IF($A$1="Español",W30,IF($A$1="Français",W31,))))</f>
        <v>Projector de Braço 300 W</v>
      </c>
      <c r="Y27" s="58" t="s">
        <v>1104</v>
      </c>
    </row>
    <row r="28" spans="1:25" ht="12.6" customHeight="1" x14ac:dyDescent="0.2">
      <c r="A28" s="151" t="s">
        <v>132</v>
      </c>
      <c r="B28" s="2"/>
      <c r="C28" s="15" t="s">
        <v>1098</v>
      </c>
      <c r="D28" s="2"/>
      <c r="E28" s="15" t="s">
        <v>92</v>
      </c>
      <c r="F28" s="2"/>
      <c r="G28" s="85" t="s">
        <v>1109</v>
      </c>
      <c r="H28" s="2"/>
      <c r="I28" s="1" t="s">
        <v>815</v>
      </c>
      <c r="K28" s="2" t="s">
        <v>401</v>
      </c>
      <c r="M28" s="1" t="s">
        <v>477</v>
      </c>
      <c r="O28" s="2" t="s">
        <v>651</v>
      </c>
      <c r="Q28" s="17" t="s">
        <v>1085</v>
      </c>
      <c r="S28" s="8" t="s">
        <v>72</v>
      </c>
      <c r="U28" s="58" t="s">
        <v>1134</v>
      </c>
      <c r="W28" s="158" t="s">
        <v>261</v>
      </c>
      <c r="Y28" s="58" t="s">
        <v>1105</v>
      </c>
    </row>
    <row r="29" spans="1:25" ht="12.6" customHeight="1" x14ac:dyDescent="0.2">
      <c r="A29" s="151" t="s">
        <v>138</v>
      </c>
      <c r="B29" s="2"/>
      <c r="C29" s="15" t="s">
        <v>1099</v>
      </c>
      <c r="D29" s="2"/>
      <c r="E29" s="15" t="s">
        <v>93</v>
      </c>
      <c r="F29" s="2"/>
      <c r="G29" s="85" t="s">
        <v>1110</v>
      </c>
      <c r="H29" s="6"/>
      <c r="I29" s="1" t="s">
        <v>816</v>
      </c>
      <c r="J29" s="6"/>
      <c r="K29" s="2" t="s">
        <v>402</v>
      </c>
      <c r="L29" s="6"/>
      <c r="M29" s="1" t="s">
        <v>478</v>
      </c>
      <c r="O29" s="2" t="s">
        <v>652</v>
      </c>
      <c r="Q29" s="17" t="s">
        <v>1086</v>
      </c>
      <c r="S29" s="8" t="s">
        <v>73</v>
      </c>
      <c r="U29" s="58" t="s">
        <v>1133</v>
      </c>
      <c r="W29" s="158" t="s">
        <v>262</v>
      </c>
      <c r="Y29" s="58" t="s">
        <v>1106</v>
      </c>
    </row>
    <row r="30" spans="1:25" ht="12.6" customHeight="1" x14ac:dyDescent="0.2">
      <c r="A30" s="139" t="s">
        <v>162</v>
      </c>
      <c r="B30" s="2"/>
      <c r="C30" s="13" t="str">
        <f>IF($A$1="Português",C31,IF($A$1="English",C32,IF($A$1="Español",C33,IF($A$1="Français",C34,))))</f>
        <v xml:space="preserve"> Horas</v>
      </c>
      <c r="D30" s="7"/>
      <c r="E30" s="15" t="s">
        <v>94</v>
      </c>
      <c r="F30" s="7"/>
      <c r="G30" s="17" t="s">
        <v>1111</v>
      </c>
      <c r="H30" s="2"/>
      <c r="I30" s="1" t="s">
        <v>817</v>
      </c>
      <c r="J30" s="2"/>
      <c r="K30" s="2" t="s">
        <v>403</v>
      </c>
      <c r="L30" s="2"/>
      <c r="M30" s="1" t="s">
        <v>479</v>
      </c>
      <c r="O30" s="2" t="s">
        <v>653</v>
      </c>
      <c r="Q30" s="17" t="s">
        <v>1087</v>
      </c>
      <c r="S30" s="8" t="s">
        <v>74</v>
      </c>
      <c r="U30" s="58" t="s">
        <v>1135</v>
      </c>
      <c r="W30" s="158" t="s">
        <v>263</v>
      </c>
      <c r="Y30" s="58" t="s">
        <v>1107</v>
      </c>
    </row>
    <row r="31" spans="1:25" ht="12.6" customHeight="1" x14ac:dyDescent="0.2">
      <c r="A31" s="152" t="s">
        <v>129</v>
      </c>
      <c r="B31" s="7"/>
      <c r="C31" s="2" t="s">
        <v>316</v>
      </c>
      <c r="D31" s="4"/>
      <c r="F31" s="4"/>
      <c r="G31" s="13" t="str">
        <f>IF($A$1="Português",G32,IF($A$1="English",G33,IF($A$1="Español",G34,IF($A$1="Français",G35,))))</f>
        <v>Quadro Eléctrico</v>
      </c>
      <c r="H31" s="2"/>
      <c r="I31" s="13" t="str">
        <f>IF($A$1="Português",I32,IF($A$1="English",I33,IF($A$1="Español",I34,IF($A$1="Français",I35,))))</f>
        <v>Ligação e Fornecimento-6 BAR e MÍN. 500 l/s</v>
      </c>
      <c r="J31" s="2"/>
      <c r="K31" s="13" t="str">
        <f>IF($A$1="Português",K32,IF($A$1="English",K33,IF($A$1="Español",K34,IF($A$1="Français",K35,))))</f>
        <v>SEM Alcatifa</v>
      </c>
      <c r="L31" s="2"/>
      <c r="M31" s="13" t="str">
        <f>IF($A$1="Português",M32,IF($A$1="English",M33,IF($A$1="Español",M34,IF($A$1="Français",M35,))))</f>
        <v>Português + 1 Idioma</v>
      </c>
      <c r="O31" s="13" t="str">
        <f>IF($A$1="Português",O32,IF($A$1="English",O33,IF($A$1="Español",O34,IF($A$1="Français",O35,))))</f>
        <v>REQUINTE sem Tela</v>
      </c>
      <c r="Q31" s="13" t="str">
        <f>IF($A$1="Português",Q32,IF($A$1="English",Q33,IF($A$1="Español",Q34,IF($A$1="Français",Q35,))))</f>
        <v>Aérea Monofásica</v>
      </c>
      <c r="S31" s="13" t="str">
        <f>IF($A$1="Português",S32,IF($A$1="English",S33,IF($A$1="Español",S34,IF($A$1="Français",S35,))))</f>
        <v>Consumo de Energia</v>
      </c>
      <c r="U31" s="13" t="str">
        <f>IF($A$1="Português",U32,IF($A$1="English",U33,IF($A$1="Español",U34,IF($A$1="Français",U35,))))</f>
        <v>Cadeira em PVC branca e pés cinza</v>
      </c>
      <c r="W31" s="158" t="s">
        <v>264</v>
      </c>
      <c r="Y31" s="13" t="str">
        <f>IF($A$1="Português",Y32,IF($A$1="English",Y33,IF($A$1="Español",Y34,IF($A$1="Français",Y35,))))</f>
        <v>Impressão Digital no Balcão FIL D</v>
      </c>
    </row>
    <row r="32" spans="1:25" ht="12.6" customHeight="1" x14ac:dyDescent="0.2">
      <c r="A32" s="152" t="s">
        <v>133</v>
      </c>
      <c r="C32" s="15" t="s">
        <v>317</v>
      </c>
      <c r="D32" s="2"/>
      <c r="F32" s="2"/>
      <c r="G32" s="1" t="s">
        <v>1063</v>
      </c>
      <c r="H32" s="2"/>
      <c r="I32" s="158" t="s">
        <v>275</v>
      </c>
      <c r="J32" s="2"/>
      <c r="K32" s="2" t="s">
        <v>404</v>
      </c>
      <c r="L32" s="2"/>
      <c r="M32" s="158" t="s">
        <v>287</v>
      </c>
      <c r="O32" s="1" t="s">
        <v>956</v>
      </c>
      <c r="Q32" s="1" t="s">
        <v>1060</v>
      </c>
      <c r="S32" s="1" t="s">
        <v>1049</v>
      </c>
      <c r="U32" s="1" t="s">
        <v>174</v>
      </c>
      <c r="W32" s="13" t="str">
        <f>IF($A$1="Português",W33,IF($A$1="English",W34,IF($A$1="Español",W35,IF($A$1="Français",W36,))))</f>
        <v>TELECOMUNICAÇÕES</v>
      </c>
      <c r="Y32" s="58" t="s">
        <v>1011</v>
      </c>
    </row>
    <row r="33" spans="1:25" ht="12.6" customHeight="1" x14ac:dyDescent="0.2">
      <c r="A33" s="152" t="s">
        <v>139</v>
      </c>
      <c r="C33" s="2" t="s">
        <v>316</v>
      </c>
      <c r="D33" s="2"/>
      <c r="F33" s="2"/>
      <c r="G33" s="1" t="s">
        <v>1064</v>
      </c>
      <c r="H33" s="6"/>
      <c r="I33" s="158" t="s">
        <v>276</v>
      </c>
      <c r="J33" s="6"/>
      <c r="K33" s="2" t="s">
        <v>405</v>
      </c>
      <c r="L33" s="6"/>
      <c r="M33" s="158" t="s">
        <v>288</v>
      </c>
      <c r="O33" s="2" t="s">
        <v>691</v>
      </c>
      <c r="Q33" s="1" t="s">
        <v>1061</v>
      </c>
      <c r="S33" s="1" t="s">
        <v>1048</v>
      </c>
      <c r="U33" s="1" t="s">
        <v>175</v>
      </c>
      <c r="W33" s="2" t="s">
        <v>279</v>
      </c>
      <c r="Y33" s="58" t="s">
        <v>1012</v>
      </c>
    </row>
    <row r="34" spans="1:25" ht="12.6" customHeight="1" x14ac:dyDescent="0.2">
      <c r="A34" s="153" t="s">
        <v>163</v>
      </c>
      <c r="C34" s="15" t="s">
        <v>318</v>
      </c>
      <c r="D34" s="2"/>
      <c r="F34" s="2"/>
      <c r="G34" s="1" t="s">
        <v>1065</v>
      </c>
      <c r="H34" s="2"/>
      <c r="I34" s="158" t="s">
        <v>388</v>
      </c>
      <c r="J34" s="2"/>
      <c r="K34" s="2" t="s">
        <v>406</v>
      </c>
      <c r="L34" s="2"/>
      <c r="M34" s="158" t="s">
        <v>289</v>
      </c>
      <c r="O34" s="2" t="s">
        <v>692</v>
      </c>
      <c r="Q34" s="1" t="s">
        <v>1060</v>
      </c>
      <c r="S34" s="1" t="s">
        <v>1050</v>
      </c>
      <c r="U34" s="1" t="s">
        <v>176</v>
      </c>
      <c r="W34" s="2" t="s">
        <v>280</v>
      </c>
      <c r="Y34" s="58" t="s">
        <v>1013</v>
      </c>
    </row>
    <row r="35" spans="1:25" ht="12.6" customHeight="1" x14ac:dyDescent="0.2">
      <c r="A35" s="151" t="s">
        <v>130</v>
      </c>
      <c r="C35" s="13" t="str">
        <f>IF($A$1="Português",C36,IF($A$1="English",C37,IF($A$1="Español",C38,IF($A$1="Français",C39,))))</f>
        <v>cm de altura</v>
      </c>
      <c r="D35" s="7"/>
      <c r="F35" s="7"/>
      <c r="G35" s="1" t="s">
        <v>1066</v>
      </c>
      <c r="H35" s="2"/>
      <c r="I35" s="158" t="s">
        <v>277</v>
      </c>
      <c r="J35" s="2"/>
      <c r="K35" s="2" t="s">
        <v>407</v>
      </c>
      <c r="L35" s="2"/>
      <c r="M35" s="158" t="s">
        <v>290</v>
      </c>
      <c r="O35" s="2" t="s">
        <v>693</v>
      </c>
      <c r="Q35" s="1" t="s">
        <v>1062</v>
      </c>
      <c r="S35" s="1" t="s">
        <v>1051</v>
      </c>
      <c r="U35" s="1" t="s">
        <v>177</v>
      </c>
      <c r="W35" s="2" t="s">
        <v>281</v>
      </c>
      <c r="Y35" s="58" t="s">
        <v>1014</v>
      </c>
    </row>
    <row r="36" spans="1:25" ht="12.6" customHeight="1" x14ac:dyDescent="0.2">
      <c r="A36" s="151" t="s">
        <v>134</v>
      </c>
      <c r="B36" s="7"/>
      <c r="C36" s="2" t="s">
        <v>575</v>
      </c>
      <c r="D36" s="15"/>
      <c r="F36" s="15"/>
      <c r="H36" s="6"/>
      <c r="I36" s="13" t="str">
        <f>IF($A$1="Português",I37,IF($A$1="English",I38,IF($A$1="Español",I39,IF($A$1="Français",I40,))))</f>
        <v>Impressão para parte inferior da Torre</v>
      </c>
      <c r="J36" s="6"/>
      <c r="K36" s="13" t="str">
        <f>IF($A$1="Português",K37,IF($A$1="English",K38,IF($A$1="Español",K39,IF($A$1="Français",K40,))))</f>
        <v>Parque, Bilhetes:</v>
      </c>
      <c r="L36" s="6"/>
      <c r="M36" s="13" t="str">
        <f>IF($A$1="Português",M37,IF($A$1="English",M38,IF($A$1="Español",M39,IF($A$1="Français",M40,))))</f>
        <v>Português + 2 Idiomas</v>
      </c>
      <c r="O36" s="13" t="str">
        <f>IF($A$1="Português",O37,IF($A$1="English",O38,IF($A$1="Español",O39,IF($A$1="Français",O40,))))</f>
        <v>REQUINTE com Tela</v>
      </c>
      <c r="S36" s="13" t="str">
        <f>IF($A$1="Português",S37,IF($A$1="English",S38,IF($A$1="Español",S39,IF($A$1="Français",S40,))))</f>
        <v>(para Stand próprio  -  Fornecimento e Colocação)</v>
      </c>
      <c r="U36" s="13" t="str">
        <f>IF($A$1="Português",U37,IF($A$1="English",U38,IF($A$1="Español",U39,IF($A$1="Français",U40,))))</f>
        <v xml:space="preserve">Mesa redonda branca </v>
      </c>
      <c r="W36" s="2" t="s">
        <v>282</v>
      </c>
      <c r="Y36" s="13" t="str">
        <f>IF($A$1="Português",Y37,IF($A$1="English",Y38,IF($A$1="Español",Y39,IF($A$1="Français",Y40,))))</f>
        <v>Impressão na Parede</v>
      </c>
    </row>
    <row r="37" spans="1:25" ht="12.6" customHeight="1" x14ac:dyDescent="0.2">
      <c r="A37" s="151" t="s">
        <v>140</v>
      </c>
      <c r="B37" s="4"/>
      <c r="C37" s="2" t="s">
        <v>572</v>
      </c>
      <c r="D37" s="3"/>
      <c r="F37" s="3"/>
      <c r="H37" s="2"/>
      <c r="I37" s="2" t="s">
        <v>1100</v>
      </c>
      <c r="J37" s="2"/>
      <c r="K37" s="2" t="s">
        <v>905</v>
      </c>
      <c r="L37" s="2"/>
      <c r="M37" s="158" t="s">
        <v>291</v>
      </c>
      <c r="O37" s="2" t="s">
        <v>955</v>
      </c>
      <c r="S37" s="58" t="s">
        <v>370</v>
      </c>
      <c r="U37" s="2" t="s">
        <v>182</v>
      </c>
      <c r="W37" s="13" t="str">
        <f>IF($A$1="Português",W38,IF($A$1="English",W39,IF($A$1="Español",W40,IF($A$1="Français",W41,))))</f>
        <v>Largura de Banda Extra para Internet</v>
      </c>
      <c r="Y37" s="43" t="s">
        <v>995</v>
      </c>
    </row>
    <row r="38" spans="1:25" ht="12.6" customHeight="1" x14ac:dyDescent="0.2">
      <c r="A38" s="139" t="s">
        <v>164</v>
      </c>
      <c r="B38" s="2"/>
      <c r="C38" s="2" t="s">
        <v>574</v>
      </c>
      <c r="D38" s="3"/>
      <c r="F38" s="3"/>
      <c r="H38" s="2"/>
      <c r="I38" s="2" t="s">
        <v>1101</v>
      </c>
      <c r="J38" s="2"/>
      <c r="K38" s="2" t="s">
        <v>654</v>
      </c>
      <c r="L38" s="2"/>
      <c r="M38" s="158" t="s">
        <v>292</v>
      </c>
      <c r="O38" s="2" t="s">
        <v>694</v>
      </c>
      <c r="S38" s="59" t="s">
        <v>371</v>
      </c>
      <c r="U38" s="2" t="s">
        <v>183</v>
      </c>
      <c r="W38" s="1" t="s">
        <v>709</v>
      </c>
      <c r="Y38" s="43" t="s">
        <v>996</v>
      </c>
    </row>
    <row r="39" spans="1:25" ht="12.6" customHeight="1" x14ac:dyDescent="0.2">
      <c r="A39" s="154" t="s">
        <v>131</v>
      </c>
      <c r="B39" s="4"/>
      <c r="C39" s="2" t="s">
        <v>573</v>
      </c>
      <c r="H39" s="2"/>
      <c r="I39" s="2" t="s">
        <v>1102</v>
      </c>
      <c r="J39" s="2"/>
      <c r="K39" s="2" t="s">
        <v>655</v>
      </c>
      <c r="L39" s="2"/>
      <c r="M39" s="158" t="s">
        <v>293</v>
      </c>
      <c r="O39" s="2" t="s">
        <v>695</v>
      </c>
      <c r="S39" s="59" t="s">
        <v>372</v>
      </c>
      <c r="U39" s="2" t="s">
        <v>184</v>
      </c>
      <c r="W39" s="1" t="s">
        <v>710</v>
      </c>
      <c r="Y39" s="43" t="s">
        <v>997</v>
      </c>
    </row>
    <row r="40" spans="1:25" ht="12.6" customHeight="1" x14ac:dyDescent="0.2">
      <c r="A40" s="154" t="s">
        <v>135</v>
      </c>
      <c r="B40" s="2"/>
      <c r="C40" s="13" t="str">
        <f>IF($A$1="Português",C41,IF($A$1="English",C42,IF($A$1="Español",C43,IF($A$1="Français",C44,))))</f>
        <v>Quant.</v>
      </c>
      <c r="D40" s="3"/>
      <c r="F40" s="3"/>
      <c r="H40" s="6"/>
      <c r="I40" s="2" t="s">
        <v>1103</v>
      </c>
      <c r="J40" s="6"/>
      <c r="K40" s="2" t="s">
        <v>656</v>
      </c>
      <c r="L40" s="6"/>
      <c r="M40" s="158" t="s">
        <v>294</v>
      </c>
      <c r="O40" s="2" t="s">
        <v>696</v>
      </c>
      <c r="S40" s="59" t="s">
        <v>373</v>
      </c>
      <c r="U40" s="2" t="s">
        <v>185</v>
      </c>
      <c r="W40" s="1" t="s">
        <v>711</v>
      </c>
      <c r="Y40" s="43" t="s">
        <v>998</v>
      </c>
    </row>
    <row r="41" spans="1:25" ht="12.6" customHeight="1" x14ac:dyDescent="0.2">
      <c r="A41" s="154" t="s">
        <v>141</v>
      </c>
      <c r="B41" s="3"/>
      <c r="C41" s="15" t="s">
        <v>64</v>
      </c>
      <c r="D41" s="2"/>
      <c r="F41" s="2"/>
      <c r="H41" s="2"/>
      <c r="J41" s="2"/>
      <c r="L41" s="2"/>
      <c r="S41" s="13" t="str">
        <f>IF($A$1="Português",S42,IF($A$1="English",S43,IF($A$1="Español",S44,IF($A$1="Français",S45,))))</f>
        <v>TV's    (incluí suporte regulável em altura)</v>
      </c>
      <c r="U41" s="13" t="str">
        <f>IF($A$1="Português",U42,IF($A$1="English",U43,IF($A$1="Español",U44,IF($A$1="Français",U45,))))</f>
        <v>Armazém com porta</v>
      </c>
      <c r="W41" s="1" t="s">
        <v>712</v>
      </c>
      <c r="Y41" s="13" t="str">
        <f>IF($A$1="Português",Y42,IF($A$1="English",Y43,IF($A$1="Español",Y44,IF($A$1="Français",Y45,))))</f>
        <v>Iluminação e Energia 220v / 380v - consumo total necessário</v>
      </c>
    </row>
    <row r="42" spans="1:25" ht="12.6" customHeight="1" x14ac:dyDescent="0.2">
      <c r="A42" s="155" t="s">
        <v>165</v>
      </c>
      <c r="B42" s="2"/>
      <c r="C42" s="15" t="s">
        <v>65</v>
      </c>
      <c r="D42" s="2"/>
      <c r="F42" s="2"/>
      <c r="H42" s="2"/>
      <c r="J42" s="2"/>
      <c r="L42" s="2"/>
      <c r="S42" s="1" t="s">
        <v>1092</v>
      </c>
      <c r="U42" s="58" t="s">
        <v>682</v>
      </c>
      <c r="W42" s="13" t="str">
        <f>IF($A$1="Português",W43,IF($A$1="English",W44,IF($A$1="Español",W45,IF($A$1="Français",W46,))))</f>
        <v>(inerente à Puxada Eléctrica suplementar)</v>
      </c>
      <c r="Y42" s="158" t="s">
        <v>257</v>
      </c>
    </row>
    <row r="43" spans="1:25" ht="12.6" customHeight="1" x14ac:dyDescent="0.2">
      <c r="B43" s="2"/>
      <c r="C43" s="15" t="s">
        <v>66</v>
      </c>
      <c r="D43" s="2"/>
      <c r="F43" s="2"/>
      <c r="S43" s="1" t="s">
        <v>1093</v>
      </c>
      <c r="U43" s="58" t="s">
        <v>683</v>
      </c>
      <c r="W43" s="3" t="s">
        <v>1052</v>
      </c>
      <c r="Y43" s="158" t="s">
        <v>258</v>
      </c>
    </row>
    <row r="44" spans="1:25" ht="12.6" customHeight="1" x14ac:dyDescent="0.2">
      <c r="A44" s="13" t="str">
        <f>IF($A$1="Português",A45,IF($A$1="English",A46,IF($A$1="Español",A47,IF($A$1="Français",A48,))))</f>
        <v>(Largura x Altura)</v>
      </c>
      <c r="B44" s="2"/>
      <c r="C44" s="200" t="s">
        <v>67</v>
      </c>
      <c r="D44" s="7"/>
      <c r="F44" s="7"/>
      <c r="S44" s="1" t="s">
        <v>1094</v>
      </c>
      <c r="U44" s="58" t="s">
        <v>684</v>
      </c>
      <c r="W44" s="3" t="s">
        <v>1053</v>
      </c>
      <c r="Y44" s="158" t="s">
        <v>259</v>
      </c>
    </row>
    <row r="45" spans="1:25" ht="12.6" customHeight="1" x14ac:dyDescent="0.2">
      <c r="A45" s="1" t="s">
        <v>1023</v>
      </c>
      <c r="B45" s="2"/>
      <c r="D45" s="15"/>
      <c r="F45" s="15"/>
      <c r="S45" s="1" t="s">
        <v>1095</v>
      </c>
      <c r="U45" s="58" t="s">
        <v>685</v>
      </c>
      <c r="W45" s="3" t="s">
        <v>1054</v>
      </c>
      <c r="Y45" s="158" t="s">
        <v>260</v>
      </c>
    </row>
    <row r="46" spans="1:25" ht="12.6" customHeight="1" x14ac:dyDescent="0.2">
      <c r="A46" s="1" t="s">
        <v>1024</v>
      </c>
      <c r="B46" s="3"/>
      <c r="D46" s="15"/>
      <c r="F46" s="15"/>
      <c r="U46" s="13" t="str">
        <f>IF($A$1="Português",U47,IF($A$1="English",U48,IF($A$1="Español",U49,IF($A$1="Français",U50,))))</f>
        <v>ÁGUA E ESGOTO</v>
      </c>
      <c r="W46" s="28" t="s">
        <v>1055</v>
      </c>
      <c r="Y46" s="13" t="str">
        <f>IF($A$1="Português",Y47,IF($A$1="English",Y48,IF($A$1="Español",Y49,IF($A$1="Français",Y50,))))</f>
        <v>Torre de Iluminação (sem projectores) 2,50m alt.</v>
      </c>
    </row>
    <row r="47" spans="1:25" ht="12.6" customHeight="1" x14ac:dyDescent="0.2">
      <c r="A47" s="1" t="s">
        <v>1025</v>
      </c>
      <c r="B47" s="3"/>
      <c r="D47" s="15"/>
      <c r="F47" s="15"/>
      <c r="S47" s="44"/>
      <c r="U47" s="1" t="s">
        <v>432</v>
      </c>
      <c r="Y47" s="158" t="s">
        <v>266</v>
      </c>
    </row>
    <row r="48" spans="1:25" ht="12.6" customHeight="1" x14ac:dyDescent="0.2">
      <c r="A48" s="1" t="s">
        <v>1026</v>
      </c>
      <c r="B48" s="3"/>
      <c r="D48" s="15"/>
      <c r="F48" s="15"/>
      <c r="S48" s="44"/>
      <c r="U48" s="1" t="s">
        <v>433</v>
      </c>
      <c r="Y48" s="158" t="s">
        <v>267</v>
      </c>
    </row>
    <row r="49" spans="2:25" ht="12.6" customHeight="1" x14ac:dyDescent="0.2">
      <c r="B49" s="3"/>
      <c r="S49" s="44"/>
      <c r="U49" s="1" t="s">
        <v>434</v>
      </c>
      <c r="Y49" s="158" t="s">
        <v>268</v>
      </c>
    </row>
    <row r="50" spans="2:25" ht="12.6" customHeight="1" x14ac:dyDescent="0.2">
      <c r="B50" s="3"/>
      <c r="S50" s="44"/>
      <c r="U50" s="1" t="s">
        <v>435</v>
      </c>
      <c r="Y50" s="158" t="s">
        <v>269</v>
      </c>
    </row>
    <row r="51" spans="2:25" ht="12.6" customHeight="1" x14ac:dyDescent="0.2">
      <c r="B51" s="3"/>
      <c r="S51" s="44"/>
      <c r="Y51" s="13" t="str">
        <f>IF($A$1="Português",Y52,IF($A$1="English",Y53,IF($A$1="Español",Y54,IF($A$1="Français",Y55,))))</f>
        <v>Atenção! Não preencheu Campo Obrigatório</v>
      </c>
    </row>
    <row r="52" spans="2:25" ht="12.6" customHeight="1" x14ac:dyDescent="0.2">
      <c r="S52" s="44"/>
      <c r="Y52" s="2" t="s">
        <v>943</v>
      </c>
    </row>
    <row r="53" spans="2:25" ht="12.6" customHeight="1" x14ac:dyDescent="0.2">
      <c r="S53" s="44"/>
      <c r="Y53" s="188" t="s">
        <v>944</v>
      </c>
    </row>
    <row r="54" spans="2:25" ht="12.6" customHeight="1" x14ac:dyDescent="0.2">
      <c r="Y54" s="188" t="s">
        <v>945</v>
      </c>
    </row>
    <row r="55" spans="2:25" ht="12.6" customHeight="1" x14ac:dyDescent="0.2">
      <c r="Y55" s="188" t="s">
        <v>946</v>
      </c>
    </row>
    <row r="56" spans="2:25" ht="12.6" customHeight="1" x14ac:dyDescent="0.2">
      <c r="Y56" s="13" t="str">
        <f>IF($A$1="Português",Y57,IF($A$1="English",Y58,IF($A$1="Español",Y59,IF($A$1="Français",Y60,))))</f>
        <v>Projectores LED</v>
      </c>
    </row>
    <row r="57" spans="2:25" ht="12.6" customHeight="1" x14ac:dyDescent="0.2">
      <c r="Y57" s="31" t="s">
        <v>703</v>
      </c>
    </row>
    <row r="58" spans="2:25" ht="12.6" customHeight="1" x14ac:dyDescent="0.2">
      <c r="Y58" s="31" t="s">
        <v>704</v>
      </c>
    </row>
    <row r="59" spans="2:25" ht="12.6" customHeight="1" x14ac:dyDescent="0.2">
      <c r="Y59" s="31" t="s">
        <v>705</v>
      </c>
    </row>
    <row r="60" spans="2:25" ht="12.6" customHeight="1" x14ac:dyDescent="0.2">
      <c r="Y60" s="31" t="s">
        <v>706</v>
      </c>
    </row>
    <row r="77" spans="16:20" ht="12.6" customHeight="1" x14ac:dyDescent="0.2">
      <c r="P77" s="44"/>
      <c r="R77" s="44"/>
      <c r="T77" s="44"/>
    </row>
    <row r="78" spans="16:20" ht="12.6" customHeight="1" x14ac:dyDescent="0.2">
      <c r="P78" s="44"/>
      <c r="R78" s="44"/>
      <c r="T78" s="44"/>
    </row>
    <row r="79" spans="16:20" ht="12.6" customHeight="1" x14ac:dyDescent="0.2">
      <c r="P79" s="44"/>
      <c r="R79" s="44"/>
      <c r="T79" s="44"/>
    </row>
    <row r="80" spans="16:20" ht="12.6" customHeight="1" x14ac:dyDescent="0.2">
      <c r="P80" s="44"/>
      <c r="R80" s="44"/>
      <c r="T80" s="44"/>
    </row>
    <row r="81" spans="16:20" ht="12.6" customHeight="1" x14ac:dyDescent="0.2">
      <c r="P81" s="44"/>
      <c r="R81" s="44"/>
      <c r="T81" s="44"/>
    </row>
    <row r="82" spans="16:20" ht="12.6" customHeight="1" x14ac:dyDescent="0.2">
      <c r="P82" s="44"/>
      <c r="R82" s="44"/>
      <c r="T82" s="44"/>
    </row>
    <row r="83" spans="16:20" ht="12.6" customHeight="1" x14ac:dyDescent="0.2">
      <c r="P83" s="44"/>
      <c r="R83" s="44"/>
      <c r="T83" s="44"/>
    </row>
  </sheetData>
  <sheetProtection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0"/>
  <sheetViews>
    <sheetView showGridLines="0" zoomScaleNormal="100" workbookViewId="0">
      <selection activeCell="H2" sqref="H2:I3"/>
    </sheetView>
  </sheetViews>
  <sheetFormatPr defaultColWidth="9.109375" defaultRowHeight="10.199999999999999" x14ac:dyDescent="0.2"/>
  <cols>
    <col min="1" max="1" width="131.6640625" style="44" customWidth="1"/>
    <col min="2" max="2" width="11.109375" style="44" customWidth="1"/>
    <col min="3" max="16384" width="9.109375" style="44"/>
  </cols>
  <sheetData>
    <row r="1" spans="1:2" ht="10.8" thickBot="1" x14ac:dyDescent="0.25">
      <c r="A1" s="20" t="str">
        <f>Serviços!$L$1</f>
        <v>Português</v>
      </c>
    </row>
    <row r="2" spans="1:2" x14ac:dyDescent="0.2">
      <c r="A2" s="181"/>
    </row>
    <row r="3" spans="1:2" x14ac:dyDescent="0.2">
      <c r="A3" s="19" t="str">
        <f>IF($A$1="Português",A4,IF($A$1="English",A5,IF($A$1="Español",A6,IF($A$1="Français",A7,))))</f>
        <v>Requisições durante a Montagem e Realização tem um AGRAVAMENTO de 30% e está sujeita à disponibilidade do produto</v>
      </c>
    </row>
    <row r="4" spans="1:2" x14ac:dyDescent="0.2">
      <c r="A4" s="407" t="s">
        <v>1067</v>
      </c>
      <c r="B4" s="1"/>
    </row>
    <row r="5" spans="1:2" x14ac:dyDescent="0.2">
      <c r="A5" s="408" t="s">
        <v>1068</v>
      </c>
      <c r="B5" s="1"/>
    </row>
    <row r="6" spans="1:2" x14ac:dyDescent="0.2">
      <c r="A6" s="407" t="s">
        <v>1069</v>
      </c>
      <c r="B6" s="1"/>
    </row>
    <row r="7" spans="1:2" x14ac:dyDescent="0.2">
      <c r="A7" s="409" t="s">
        <v>1070</v>
      </c>
      <c r="B7" s="1"/>
    </row>
    <row r="8" spans="1:2" ht="20.399999999999999" x14ac:dyDescent="0.2">
      <c r="A8" s="19" t="str">
        <f>IF($A$1="Português",A9,IF($A$1="English",A10,IF($A$1="Español",A11,IF($A$1="Français",A12,))))</f>
        <v>A desistência de serviços solicitados só poderá ser feita até ao 4º dia antes do período de montagem, a partir desta data 
não haverá lugar à devolução do valor pago.</v>
      </c>
      <c r="B8" s="1"/>
    </row>
    <row r="9" spans="1:2" ht="20.399999999999999" x14ac:dyDescent="0.2">
      <c r="A9" s="407" t="s">
        <v>1159</v>
      </c>
      <c r="B9" s="1"/>
    </row>
    <row r="10" spans="1:2" ht="20.399999999999999" x14ac:dyDescent="0.2">
      <c r="A10" s="408" t="s">
        <v>1160</v>
      </c>
      <c r="B10" s="1"/>
    </row>
    <row r="11" spans="1:2" ht="20.399999999999999" x14ac:dyDescent="0.2">
      <c r="A11" s="407" t="s">
        <v>1161</v>
      </c>
      <c r="B11" s="1"/>
    </row>
    <row r="12" spans="1:2" ht="20.399999999999999" x14ac:dyDescent="0.2">
      <c r="A12" s="410" t="s">
        <v>1162</v>
      </c>
      <c r="B12" s="1"/>
    </row>
    <row r="13" spans="1:2" x14ac:dyDescent="0.2">
      <c r="A13" s="19" t="str">
        <f>IF($A$1="Português",A14,IF($A$1="English",A15,IF($A$1="Español",A16,IF($A$1="Français",A17,))))</f>
        <v>O Stand inclui Quadro Eléctrico e será entregue à partir das 15H00 do dia</v>
      </c>
      <c r="B13" s="1"/>
    </row>
    <row r="14" spans="1:2" x14ac:dyDescent="0.2">
      <c r="A14" s="108" t="s">
        <v>564</v>
      </c>
      <c r="B14" s="1"/>
    </row>
    <row r="15" spans="1:2" x14ac:dyDescent="0.2">
      <c r="A15" s="108" t="s">
        <v>565</v>
      </c>
      <c r="B15" s="1"/>
    </row>
    <row r="16" spans="1:2" x14ac:dyDescent="0.2">
      <c r="A16" s="108" t="s">
        <v>566</v>
      </c>
      <c r="B16" s="1"/>
    </row>
    <row r="17" spans="1:2" x14ac:dyDescent="0.2">
      <c r="A17" s="376" t="s">
        <v>567</v>
      </c>
      <c r="B17" s="1"/>
    </row>
    <row r="18" spans="1:2" x14ac:dyDescent="0.2">
      <c r="A18" s="19" t="str">
        <f>IF($A$1="Português",A19,IF($A$1="English",A20,IF($A$1="Español",A21,IF($A$1="Français",A22,))))</f>
        <v>O Stand inclui Tomada Tripla e será entregue à partir das 15H00 do dia</v>
      </c>
      <c r="B18" s="1"/>
    </row>
    <row r="19" spans="1:2" x14ac:dyDescent="0.2">
      <c r="A19" s="374" t="s">
        <v>487</v>
      </c>
    </row>
    <row r="20" spans="1:2" x14ac:dyDescent="0.2">
      <c r="A20" s="374" t="s">
        <v>488</v>
      </c>
    </row>
    <row r="21" spans="1:2" x14ac:dyDescent="0.2">
      <c r="A21" s="374" t="s">
        <v>489</v>
      </c>
    </row>
    <row r="22" spans="1:2" x14ac:dyDescent="0.2">
      <c r="A22" s="375" t="s">
        <v>490</v>
      </c>
    </row>
    <row r="23" spans="1:2" x14ac:dyDescent="0.2">
      <c r="A23" s="19" t="str">
        <f>IF($A$1="Português",A24,IF($A$1="English",A25,IF($A$1="Español",A26,IF($A$1="Français",A27,))))</f>
        <v xml:space="preserve">Se for uma REGIÃO AUTÓNOMA, indique qual: (Aplica-se apenas às Empresas Portuguesas)   </v>
      </c>
    </row>
    <row r="24" spans="1:2" s="60" customFormat="1" ht="12" x14ac:dyDescent="0.25">
      <c r="A24" s="28" t="s">
        <v>954</v>
      </c>
    </row>
    <row r="25" spans="1:2" s="60" customFormat="1" ht="12" x14ac:dyDescent="0.25">
      <c r="A25" s="40" t="s">
        <v>951</v>
      </c>
    </row>
    <row r="26" spans="1:2" s="60" customFormat="1" ht="12" x14ac:dyDescent="0.25">
      <c r="A26" s="28" t="s">
        <v>952</v>
      </c>
    </row>
    <row r="27" spans="1:2" s="60" customFormat="1" ht="12" x14ac:dyDescent="0.25">
      <c r="A27" s="47" t="s">
        <v>953</v>
      </c>
    </row>
    <row r="28" spans="1:2" x14ac:dyDescent="0.2">
      <c r="A28" s="19" t="str">
        <f>IF($A$1="Português",A29,IF($A$1="English",A30,IF($A$1="Español",A31,IF($A$1="Français",A32,))))</f>
        <v>Obrigatório enviar projecto do Stand para aprovação da FIL (Ler NORMAS DE PARTICIPAÇÃO) até</v>
      </c>
    </row>
    <row r="29" spans="1:2" x14ac:dyDescent="0.2">
      <c r="A29" s="2" t="s">
        <v>1031</v>
      </c>
    </row>
    <row r="30" spans="1:2" x14ac:dyDescent="0.2">
      <c r="A30" s="65" t="s">
        <v>1032</v>
      </c>
    </row>
    <row r="31" spans="1:2" x14ac:dyDescent="0.2">
      <c r="A31" s="17" t="s">
        <v>1033</v>
      </c>
    </row>
    <row r="32" spans="1:2" x14ac:dyDescent="0.2">
      <c r="A32" s="50" t="s">
        <v>1034</v>
      </c>
    </row>
    <row r="33" spans="1:1" x14ac:dyDescent="0.2">
      <c r="A33" s="19" t="str">
        <f>IF($A$1="Português",A34,IF($A$1="English",A35,IF($A$1="Español",A36,IF($A$1="Français",A37,))))</f>
        <v>Às Empresas de Montagem de Stands, a FIL cobra uma taxa de 2,00€ por cada m2</v>
      </c>
    </row>
    <row r="34" spans="1:1" x14ac:dyDescent="0.2">
      <c r="A34" s="367" t="s">
        <v>920</v>
      </c>
    </row>
    <row r="35" spans="1:1" x14ac:dyDescent="0.2">
      <c r="A35" s="367" t="s">
        <v>921</v>
      </c>
    </row>
    <row r="36" spans="1:1" x14ac:dyDescent="0.2">
      <c r="A36" s="367" t="s">
        <v>922</v>
      </c>
    </row>
    <row r="37" spans="1:1" x14ac:dyDescent="0.2">
      <c r="A37" s="2" t="s">
        <v>923</v>
      </c>
    </row>
    <row r="38" spans="1:1" x14ac:dyDescent="0.2">
      <c r="A38" s="19" t="str">
        <f>IF($A$1="Português",A39,IF($A$1="English",A40,IF($A$1="Español",A41,IF($A$1="Français",A42,))))</f>
        <v>Se requisitar Stand à FIL e não preencher este campo, será colocado no Stand o nome da inscrição (letra Arial Bold)</v>
      </c>
    </row>
    <row r="39" spans="1:1" x14ac:dyDescent="0.2">
      <c r="A39" s="51" t="s">
        <v>925</v>
      </c>
    </row>
    <row r="40" spans="1:1" x14ac:dyDescent="0.2">
      <c r="A40" s="52" t="s">
        <v>926</v>
      </c>
    </row>
    <row r="41" spans="1:1" x14ac:dyDescent="0.2">
      <c r="A41" s="51" t="s">
        <v>927</v>
      </c>
    </row>
    <row r="42" spans="1:1" x14ac:dyDescent="0.2">
      <c r="A42" s="53" t="s">
        <v>928</v>
      </c>
    </row>
    <row r="43" spans="1:1" x14ac:dyDescent="0.2">
      <c r="A43" s="19" t="str">
        <f>IF($A$1="Português",A44,IF($A$1="English",A45,IF($A$1="Español",A46,IF($A$1="Français",A47,))))</f>
        <v>Atenção! Não requisitou m2/Stand. Este campo só é válido para Stands da FIL</v>
      </c>
    </row>
    <row r="44" spans="1:1" x14ac:dyDescent="0.2">
      <c r="A44" s="43" t="s">
        <v>947</v>
      </c>
    </row>
    <row r="45" spans="1:1" x14ac:dyDescent="0.2">
      <c r="A45" s="54" t="s">
        <v>948</v>
      </c>
    </row>
    <row r="46" spans="1:1" x14ac:dyDescent="0.2">
      <c r="A46" s="43" t="s">
        <v>949</v>
      </c>
    </row>
    <row r="47" spans="1:1" x14ac:dyDescent="0.2">
      <c r="A47" s="53" t="s">
        <v>950</v>
      </c>
    </row>
    <row r="48" spans="1:1" x14ac:dyDescent="0.2">
      <c r="A48" s="19" t="str">
        <f>IF($A$1="Português",A49,IF($A$1="English",A50,IF($A$1="Español",A51,IF($A$1="Français",A52,))))</f>
        <v>Balcão FIL A - branco e cinza, prateleira, portas e fechadura (1,03x 0,50x1,00 Alt)</v>
      </c>
    </row>
    <row r="49" spans="1:1" x14ac:dyDescent="0.2">
      <c r="A49" s="102" t="s">
        <v>492</v>
      </c>
    </row>
    <row r="50" spans="1:1" x14ac:dyDescent="0.2">
      <c r="A50" s="103" t="s">
        <v>493</v>
      </c>
    </row>
    <row r="51" spans="1:1" x14ac:dyDescent="0.2">
      <c r="A51" s="102" t="s">
        <v>494</v>
      </c>
    </row>
    <row r="52" spans="1:1" x14ac:dyDescent="0.2">
      <c r="A52" s="104" t="s">
        <v>495</v>
      </c>
    </row>
    <row r="53" spans="1:1" x14ac:dyDescent="0.2">
      <c r="A53" s="19" t="str">
        <f>IF($A$1="Português",A54,IF($A$1="English",A55,IF($A$1="Español",A56,IF($A$1="Français",A57,))))</f>
        <v>Água Quente  (serviço adicional ao ponto de água fria)</v>
      </c>
    </row>
    <row r="54" spans="1:1" x14ac:dyDescent="0.2">
      <c r="A54" s="105" t="s">
        <v>187</v>
      </c>
    </row>
    <row r="55" spans="1:1" x14ac:dyDescent="0.2">
      <c r="A55" s="106" t="s">
        <v>188</v>
      </c>
    </row>
    <row r="56" spans="1:1" x14ac:dyDescent="0.2">
      <c r="A56" s="105" t="s">
        <v>189</v>
      </c>
    </row>
    <row r="57" spans="1:1" x14ac:dyDescent="0.2">
      <c r="A57" s="107" t="s">
        <v>190</v>
      </c>
    </row>
    <row r="58" spans="1:1" x14ac:dyDescent="0.2">
      <c r="A58" s="19" t="str">
        <f>IF($A$1="Português",A59,IF($A$1="English",A60,IF($A$1="Español",A61,IF($A$1="Français",A62,))))</f>
        <v>Pagamento a favor de:    LISBOA-FEIRAS CONGRESSOS E EVENTOS   (referência)</v>
      </c>
    </row>
    <row r="59" spans="1:1" x14ac:dyDescent="0.2">
      <c r="A59" s="51" t="s">
        <v>215</v>
      </c>
    </row>
    <row r="60" spans="1:1" s="2" customFormat="1" x14ac:dyDescent="0.2">
      <c r="A60" s="52" t="s">
        <v>216</v>
      </c>
    </row>
    <row r="61" spans="1:1" s="2" customFormat="1" x14ac:dyDescent="0.2">
      <c r="A61" s="51" t="s">
        <v>217</v>
      </c>
    </row>
    <row r="62" spans="1:1" s="2" customFormat="1" x14ac:dyDescent="0.2">
      <c r="A62" s="53" t="s">
        <v>218</v>
      </c>
    </row>
    <row r="63" spans="1:1" s="2" customFormat="1" ht="20.399999999999999" x14ac:dyDescent="0.2">
      <c r="A63" s="19" t="str">
        <f>IF($A$1="Português",A64,IF($A$1="English",A65,IF($A$1="Español",A66,IF($A$1="Français",A67,))))</f>
        <v>(os dados recolhidos são facultados pelo titular no quadro das obrigações contratuais com a Lisboa-FCE e serão
mantidos enquanto durar tal relação e para esse efeito)</v>
      </c>
    </row>
    <row r="64" spans="1:1" s="2" customFormat="1" ht="20.399999999999999" x14ac:dyDescent="0.2">
      <c r="A64" s="349" t="s">
        <v>941</v>
      </c>
    </row>
    <row r="65" spans="1:3" s="2" customFormat="1" ht="20.399999999999999" x14ac:dyDescent="0.2">
      <c r="A65" s="350" t="s">
        <v>942</v>
      </c>
    </row>
    <row r="66" spans="1:3" s="2" customFormat="1" ht="20.399999999999999" x14ac:dyDescent="0.2">
      <c r="A66" s="373" t="s">
        <v>939</v>
      </c>
    </row>
    <row r="67" spans="1:3" s="2" customFormat="1" ht="20.399999999999999" x14ac:dyDescent="0.2">
      <c r="A67" s="53" t="s">
        <v>940</v>
      </c>
    </row>
    <row r="68" spans="1:3" s="2" customFormat="1" x14ac:dyDescent="0.2">
      <c r="A68" s="19" t="str">
        <f>IF($A$1="Português",A69,IF($A$1="English",A70,IF($A$1="Español",A71,IF($A$1="Français",A72,))))</f>
        <v>Formulário de envio de documento comprovativo de pagamento:</v>
      </c>
    </row>
    <row r="69" spans="1:3" x14ac:dyDescent="0.2">
      <c r="A69" s="188" t="s">
        <v>934</v>
      </c>
      <c r="C69" s="2"/>
    </row>
    <row r="70" spans="1:3" x14ac:dyDescent="0.2">
      <c r="A70" s="2" t="s">
        <v>935</v>
      </c>
    </row>
    <row r="71" spans="1:3" x14ac:dyDescent="0.2">
      <c r="A71" s="2" t="s">
        <v>936</v>
      </c>
    </row>
    <row r="72" spans="1:3" x14ac:dyDescent="0.2">
      <c r="A72" s="2" t="s">
        <v>937</v>
      </c>
    </row>
    <row r="73" spans="1:3" ht="20.399999999999999" x14ac:dyDescent="0.2">
      <c r="A73" s="19" t="str">
        <f>IF($A$1="Português",A74,IF($A$1="English",A75,IF($A$1="Español",A76,IF($A$1="Français",A77,))))</f>
        <v>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v>
      </c>
    </row>
    <row r="74" spans="1:3" ht="20.399999999999999" x14ac:dyDescent="0.2">
      <c r="A74" s="51" t="s">
        <v>818</v>
      </c>
    </row>
    <row r="75" spans="1:3" ht="20.399999999999999" x14ac:dyDescent="0.2">
      <c r="A75" s="52" t="s">
        <v>819</v>
      </c>
    </row>
    <row r="76" spans="1:3" ht="20.399999999999999" x14ac:dyDescent="0.2">
      <c r="A76" s="68" t="s">
        <v>820</v>
      </c>
    </row>
    <row r="77" spans="1:3" ht="20.399999999999999" x14ac:dyDescent="0.2">
      <c r="A77" s="186" t="s">
        <v>821</v>
      </c>
    </row>
    <row r="78" spans="1:3" x14ac:dyDescent="0.2">
      <c r="A78" s="2"/>
    </row>
    <row r="79" spans="1:3" x14ac:dyDescent="0.2">
      <c r="A79" s="2"/>
    </row>
    <row r="80" spans="1:3" x14ac:dyDescent="0.2">
      <c r="A80" s="2"/>
    </row>
  </sheetData>
  <sheetProtection selectLockedCells="1"/>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showGridLines="0" zoomScaleNormal="100" workbookViewId="0">
      <selection activeCell="H2" sqref="H2:I3"/>
    </sheetView>
  </sheetViews>
  <sheetFormatPr defaultColWidth="9.109375" defaultRowHeight="10.8" customHeight="1" x14ac:dyDescent="0.2"/>
  <cols>
    <col min="1" max="1" width="9.33203125" style="44" bestFit="1" customWidth="1"/>
    <col min="2" max="2" width="2.5546875" style="44" customWidth="1"/>
    <col min="3" max="3" width="21.5546875" style="44" bestFit="1" customWidth="1"/>
    <col min="4" max="4" width="2.33203125" style="44" customWidth="1"/>
    <col min="5" max="5" width="27.44140625" style="44" bestFit="1" customWidth="1"/>
    <col min="6" max="6" width="2.109375" style="44" customWidth="1"/>
    <col min="7" max="7" width="33" style="44" bestFit="1" customWidth="1"/>
    <col min="8" max="8" width="1.88671875" style="44" customWidth="1"/>
    <col min="9" max="9" width="67.44140625" style="44" bestFit="1" customWidth="1"/>
    <col min="10" max="16384" width="9.109375" style="44"/>
  </cols>
  <sheetData>
    <row r="1" spans="1:9" ht="10.8" customHeight="1" x14ac:dyDescent="0.2">
      <c r="A1" s="42" t="str">
        <f>Serviços!$L$1</f>
        <v>Português</v>
      </c>
      <c r="C1" s="13" t="str">
        <f>IF($A$1="Português",C2,IF($A$1="English",C3,IF($A$1="Español",C4,IF($A$1="Français",C5,))))</f>
        <v xml:space="preserve">Período mínimo de contratação: </v>
      </c>
      <c r="E1" s="13" t="str">
        <f>IF($A$1="Português",E2,IF($A$1="English",E3,IF($A$1="Español",E4,IF($A$1="Français",E5,))))</f>
        <v>3,2 cm de altura</v>
      </c>
      <c r="G1" s="13" t="str">
        <f>IF($A$1="Português",G2,IF($A$1="English",G3,IF($A$1="Español",G4,IF($A$1="Français",G5,))))</f>
        <v>O Expositor tem direito a</v>
      </c>
      <c r="I1" s="13" t="str">
        <f>IF($A$1="Português",I2,IF($A$1="English",I3,IF($A$1="Español",I4,IF($A$1="Français",I5,))))</f>
        <v>bilhetes gratuitos válidos para um único acesso, e só pode adquirir mais de acordo com a seguinte tabela:</v>
      </c>
    </row>
    <row r="2" spans="1:9" ht="10.8" customHeight="1" x14ac:dyDescent="0.2">
      <c r="A2" s="182"/>
      <c r="C2" s="3" t="s">
        <v>354</v>
      </c>
      <c r="E2" s="2" t="s">
        <v>576</v>
      </c>
      <c r="G2" s="359" t="s">
        <v>897</v>
      </c>
      <c r="I2" s="359" t="s">
        <v>961</v>
      </c>
    </row>
    <row r="3" spans="1:9" ht="10.8" customHeight="1" x14ac:dyDescent="0.2">
      <c r="A3" s="13" t="str">
        <f>IF($A$1="Português",A4,IF($A$1="English",A5,IF($A$1="Español",A6,IF($A$1="Français",A7,))))</f>
        <v>NÃO Inclui</v>
      </c>
      <c r="C3" s="3" t="s">
        <v>355</v>
      </c>
      <c r="E3" s="2" t="s">
        <v>577</v>
      </c>
      <c r="G3" s="359" t="s">
        <v>898</v>
      </c>
      <c r="I3" s="359" t="s">
        <v>962</v>
      </c>
    </row>
    <row r="4" spans="1:9" ht="10.8" customHeight="1" x14ac:dyDescent="0.2">
      <c r="A4" s="1" t="s">
        <v>223</v>
      </c>
      <c r="C4" s="3" t="s">
        <v>356</v>
      </c>
      <c r="E4" s="2" t="s">
        <v>578</v>
      </c>
      <c r="G4" s="359" t="s">
        <v>899</v>
      </c>
      <c r="I4" s="359" t="s">
        <v>963</v>
      </c>
    </row>
    <row r="5" spans="1:9" ht="10.8" customHeight="1" x14ac:dyDescent="0.2">
      <c r="A5" s="1" t="s">
        <v>224</v>
      </c>
      <c r="C5" s="3" t="s">
        <v>357</v>
      </c>
      <c r="E5" s="2" t="s">
        <v>579</v>
      </c>
      <c r="G5" s="359" t="s">
        <v>900</v>
      </c>
      <c r="I5" s="359" t="s">
        <v>964</v>
      </c>
    </row>
    <row r="6" spans="1:9" ht="10.8" customHeight="1" x14ac:dyDescent="0.2">
      <c r="A6" s="1" t="s">
        <v>225</v>
      </c>
      <c r="C6" s="13" t="str">
        <f>IF($A$1="Português",C7,IF($A$1="English",C8,IF($A$1="Español",C9,IF($A$1="Français",C10,))))</f>
        <v>( &gt; 81 m2 sob orçamento)</v>
      </c>
      <c r="E6" s="13" t="str">
        <f>IF($A$1="Português",E7,IF($A$1="English",E8,IF($A$1="Español",E9,IF($A$1="Français",E10,))))</f>
        <v>10 cm de altura</v>
      </c>
      <c r="G6" s="13" t="str">
        <f>IF($A$1="Português",G7,IF($A$1="English",G8,IF($A$1="Español",G9,IF($A$1="Français",G10,))))</f>
        <v xml:space="preserve">Por cada 9 m2 serão atribuidos </v>
      </c>
      <c r="I6" s="394"/>
    </row>
    <row r="7" spans="1:9" ht="10.8" customHeight="1" x14ac:dyDescent="0.2">
      <c r="A7" s="1" t="s">
        <v>226</v>
      </c>
      <c r="C7" s="2" t="s">
        <v>442</v>
      </c>
      <c r="E7" s="2" t="s">
        <v>580</v>
      </c>
      <c r="G7" s="360" t="s">
        <v>497</v>
      </c>
    </row>
    <row r="8" spans="1:9" ht="10.8" customHeight="1" x14ac:dyDescent="0.2">
      <c r="A8" s="13" t="str">
        <f>IF($A$1="Português",A9,IF($A$1="English",A10,IF($A$1="Español",A11,IF($A$1="Français",A12,))))</f>
        <v>Inclui</v>
      </c>
      <c r="C8" s="2" t="s">
        <v>496</v>
      </c>
      <c r="E8" s="2" t="s">
        <v>581</v>
      </c>
      <c r="G8" s="359" t="s">
        <v>498</v>
      </c>
    </row>
    <row r="9" spans="1:9" ht="10.8" customHeight="1" x14ac:dyDescent="0.2">
      <c r="A9" s="2" t="s">
        <v>636</v>
      </c>
      <c r="C9" s="2" t="s">
        <v>443</v>
      </c>
      <c r="E9" s="2" t="s">
        <v>582</v>
      </c>
      <c r="G9" s="359" t="s">
        <v>499</v>
      </c>
    </row>
    <row r="10" spans="1:9" ht="10.8" customHeight="1" x14ac:dyDescent="0.2">
      <c r="A10" s="2" t="s">
        <v>637</v>
      </c>
      <c r="C10" s="2" t="s">
        <v>444</v>
      </c>
      <c r="E10" s="2" t="s">
        <v>583</v>
      </c>
      <c r="G10" s="359" t="s">
        <v>500</v>
      </c>
    </row>
    <row r="11" spans="1:9" ht="10.8" customHeight="1" x14ac:dyDescent="0.2">
      <c r="A11" s="2" t="s">
        <v>638</v>
      </c>
      <c r="C11" s="13" t="str">
        <f>IF($A$1="Português",C12,IF($A$1="English",C13,IF($A$1="Español",C14,IF($A$1="Français",C15,))))</f>
        <v>Rede Wi-Fi Premium  5GHz</v>
      </c>
      <c r="E11" s="13" t="str">
        <f>IF($A$1="Português",E12,IF($A$1="English",E13,IF($A$1="Español",E14,IF($A$1="Français",E15,))))</f>
        <v>(adicional ao cabo de rede)</v>
      </c>
      <c r="G11" s="13" t="str">
        <f>IF($A$1="Português",G12,IF($A$1="English",G13,IF($A$1="Español",G14,IF($A$1="Français",G15,))))</f>
        <v>bilhetes gratuítos, válidos para um único acesso.</v>
      </c>
    </row>
    <row r="12" spans="1:9" ht="10.8" customHeight="1" x14ac:dyDescent="0.2">
      <c r="A12" s="2" t="s">
        <v>639</v>
      </c>
      <c r="C12" s="158" t="s">
        <v>457</v>
      </c>
      <c r="E12" s="1" t="s">
        <v>714</v>
      </c>
      <c r="G12" s="360" t="s">
        <v>501</v>
      </c>
    </row>
    <row r="13" spans="1:9" ht="10.8" customHeight="1" x14ac:dyDescent="0.2">
      <c r="A13" s="13" t="str">
        <f>IF($A$1="Português",A14,IF($A$1="English",A15,IF($A$1="Español",A16,IF($A$1="Français",A17,))))</f>
        <v>ARTES FINAIS</v>
      </c>
      <c r="C13" s="158" t="s">
        <v>458</v>
      </c>
      <c r="E13" s="1" t="s">
        <v>715</v>
      </c>
      <c r="G13" s="359" t="s">
        <v>502</v>
      </c>
    </row>
    <row r="14" spans="1:9" ht="10.8" customHeight="1" x14ac:dyDescent="0.2">
      <c r="A14" s="158" t="s">
        <v>1071</v>
      </c>
      <c r="C14" s="158" t="s">
        <v>459</v>
      </c>
      <c r="E14" s="1" t="s">
        <v>716</v>
      </c>
      <c r="G14" s="359" t="s">
        <v>960</v>
      </c>
    </row>
    <row r="15" spans="1:9" ht="10.8" customHeight="1" x14ac:dyDescent="0.2">
      <c r="A15" s="158" t="s">
        <v>1072</v>
      </c>
      <c r="C15" s="158" t="s">
        <v>460</v>
      </c>
      <c r="E15" s="1" t="s">
        <v>717</v>
      </c>
      <c r="G15" s="359" t="s">
        <v>503</v>
      </c>
    </row>
    <row r="16" spans="1:9" ht="10.8" customHeight="1" x14ac:dyDescent="0.2">
      <c r="A16" s="158" t="s">
        <v>1073</v>
      </c>
      <c r="C16" s="13" t="str">
        <f>IF($A$1="Português",C17,IF($A$1="English",C18,IF($A$1="Español",C19,IF($A$1="Français",C20,))))</f>
        <v>Rede Wi-Fi Dedicada ao Stand</v>
      </c>
      <c r="E16" s="13" t="str">
        <f>IF($A$1="Português",E17,IF($A$1="English",E18,IF($A$1="Español",E19,IF($A$1="Français",E20,))))</f>
        <v xml:space="preserve">Período mínimo de contratação - 4 horas. </v>
      </c>
      <c r="G16" s="13" t="str">
        <f>IF($A$1="Português",G17,(IF($A$1="English",G18,(IF($A$1="Español",G19,(IF($A$1="Français",G20,)))))))</f>
        <v>9 m2 a 54 m2  -  10 Bilhetes</v>
      </c>
    </row>
    <row r="17" spans="1:7" ht="10.8" customHeight="1" x14ac:dyDescent="0.2">
      <c r="A17" s="158" t="s">
        <v>1074</v>
      </c>
      <c r="C17" s="158" t="s">
        <v>449</v>
      </c>
      <c r="E17" s="51" t="s">
        <v>342</v>
      </c>
      <c r="G17" s="359" t="s">
        <v>965</v>
      </c>
    </row>
    <row r="18" spans="1:7" ht="10.8" customHeight="1" x14ac:dyDescent="0.2">
      <c r="C18" s="158" t="s">
        <v>450</v>
      </c>
      <c r="E18" s="51" t="s">
        <v>343</v>
      </c>
      <c r="G18" s="359" t="s">
        <v>966</v>
      </c>
    </row>
    <row r="19" spans="1:7" ht="10.8" customHeight="1" x14ac:dyDescent="0.2">
      <c r="C19" s="158" t="s">
        <v>451</v>
      </c>
      <c r="E19" s="1" t="s">
        <v>344</v>
      </c>
      <c r="G19" s="359" t="s">
        <v>967</v>
      </c>
    </row>
    <row r="20" spans="1:7" ht="10.8" customHeight="1" x14ac:dyDescent="0.2">
      <c r="C20" s="158" t="s">
        <v>452</v>
      </c>
      <c r="E20" s="1" t="s">
        <v>345</v>
      </c>
      <c r="G20" s="359" t="s">
        <v>968</v>
      </c>
    </row>
    <row r="21" spans="1:7" ht="10.8" customHeight="1" x14ac:dyDescent="0.2">
      <c r="C21" s="13" t="str">
        <f>IF($A$1="Português",C22,IF($A$1="English",C23,IF($A$1="Español",C24,IF($A$1="Français",C25,))))</f>
        <v>Rede Wi-Fi 2.4GHz</v>
      </c>
      <c r="E21" s="13" t="str">
        <f>IF($A$1="Português",E22,IF($A$1="English",E23,IF($A$1="Español",E24,IF($A$1="Français",E25,))))</f>
        <v xml:space="preserve">As imagens devem ser enviadas até   </v>
      </c>
      <c r="G21" s="13" t="str">
        <f>IF($A$1="Português",G22,(IF($A$1="English",G23,(IF($A$1="Español",G24,(IF($A$1="Français",G25,)))))))</f>
        <v>63 m2 a 81 m2  -  30 Bilhetes</v>
      </c>
    </row>
    <row r="22" spans="1:7" ht="10.8" customHeight="1" x14ac:dyDescent="0.2">
      <c r="C22" s="158" t="s">
        <v>453</v>
      </c>
      <c r="E22" s="17" t="s">
        <v>1075</v>
      </c>
      <c r="G22" s="359" t="s">
        <v>969</v>
      </c>
    </row>
    <row r="23" spans="1:7" ht="10.8" customHeight="1" x14ac:dyDescent="0.2">
      <c r="C23" s="158" t="s">
        <v>454</v>
      </c>
      <c r="E23" s="31" t="s">
        <v>1076</v>
      </c>
      <c r="G23" s="359" t="s">
        <v>970</v>
      </c>
    </row>
    <row r="24" spans="1:7" ht="10.8" customHeight="1" x14ac:dyDescent="0.2">
      <c r="C24" s="158" t="s">
        <v>455</v>
      </c>
      <c r="E24" s="17" t="s">
        <v>1077</v>
      </c>
      <c r="G24" s="359" t="s">
        <v>971</v>
      </c>
    </row>
    <row r="25" spans="1:7" ht="10.8" customHeight="1" x14ac:dyDescent="0.2">
      <c r="C25" s="158" t="s">
        <v>456</v>
      </c>
      <c r="E25" s="17" t="s">
        <v>1078</v>
      </c>
      <c r="G25" s="359" t="s">
        <v>972</v>
      </c>
    </row>
    <row r="26" spans="1:7" ht="10.8" customHeight="1" x14ac:dyDescent="0.2">
      <c r="G26" s="13" t="str">
        <f>IF($A$1="Português",G27,(IF($A$1="English",G28,(IF($A$1="Español",G29,(IF($A$1="Français",G30,)))))))</f>
        <v>&gt;= 90 m2  -  40 Bilhetes</v>
      </c>
    </row>
    <row r="27" spans="1:7" ht="10.8" customHeight="1" x14ac:dyDescent="0.2">
      <c r="G27" s="359" t="s">
        <v>973</v>
      </c>
    </row>
    <row r="28" spans="1:7" ht="10.8" customHeight="1" x14ac:dyDescent="0.2">
      <c r="G28" s="359" t="s">
        <v>974</v>
      </c>
    </row>
    <row r="29" spans="1:7" ht="10.8" customHeight="1" x14ac:dyDescent="0.2">
      <c r="G29" s="359" t="s">
        <v>975</v>
      </c>
    </row>
    <row r="30" spans="1:7" ht="10.8" customHeight="1" x14ac:dyDescent="0.2">
      <c r="G30" s="359" t="s">
        <v>976</v>
      </c>
    </row>
  </sheetData>
  <sheetProtection selectLockedCell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62"/>
  <sheetViews>
    <sheetView showGridLines="0" topLeftCell="A148" zoomScaleNormal="100" workbookViewId="0">
      <selection activeCell="H2" sqref="H2:I3"/>
    </sheetView>
  </sheetViews>
  <sheetFormatPr defaultColWidth="9.109375" defaultRowHeight="13.2" x14ac:dyDescent="0.25"/>
  <cols>
    <col min="1" max="1" width="144.33203125" style="32" customWidth="1"/>
    <col min="2" max="16384" width="9.109375" style="32"/>
  </cols>
  <sheetData>
    <row r="1" spans="1:7" x14ac:dyDescent="0.25">
      <c r="A1" s="12" t="str">
        <f>Serviços!$L$1</f>
        <v>Português</v>
      </c>
    </row>
    <row r="2" spans="1:7" x14ac:dyDescent="0.25">
      <c r="A2" s="183"/>
    </row>
    <row r="3" spans="1:7" s="44" customFormat="1" ht="12.6" customHeight="1" x14ac:dyDescent="0.2">
      <c r="A3" s="19" t="str">
        <f>IF($A$1="Português",A4,IF($A$1="English",A5,IF($A$1="Español",A6,IF($A$1="Français",A7,))))</f>
        <v>Para proceder a uma correcta montagem dos equipamentos/serviços, é imprescindível o envio do PLANO TÉCNICO, com indicação da localização pretendida.</v>
      </c>
      <c r="B3" s="406"/>
      <c r="C3" s="406"/>
      <c r="D3" s="406"/>
      <c r="E3" s="406"/>
      <c r="F3" s="406"/>
      <c r="G3" s="406"/>
    </row>
    <row r="4" spans="1:7" s="44" customFormat="1" ht="12.6" customHeight="1" x14ac:dyDescent="0.2">
      <c r="A4" s="15" t="s">
        <v>203</v>
      </c>
      <c r="B4" s="406"/>
      <c r="C4" s="406"/>
      <c r="D4" s="406"/>
      <c r="E4" s="406"/>
      <c r="F4" s="406"/>
      <c r="G4" s="406"/>
    </row>
    <row r="5" spans="1:7" s="44" customFormat="1" ht="12.6" customHeight="1" x14ac:dyDescent="0.2">
      <c r="A5" s="111" t="s">
        <v>204</v>
      </c>
      <c r="B5" s="406"/>
      <c r="C5" s="406"/>
      <c r="D5" s="406"/>
      <c r="E5" s="406"/>
      <c r="F5" s="406"/>
      <c r="G5" s="406"/>
    </row>
    <row r="6" spans="1:7" s="44" customFormat="1" ht="12.6" customHeight="1" x14ac:dyDescent="0.2">
      <c r="A6" s="112" t="s">
        <v>205</v>
      </c>
      <c r="B6" s="406"/>
      <c r="C6" s="406"/>
      <c r="D6" s="406"/>
      <c r="E6" s="406"/>
      <c r="F6" s="406"/>
      <c r="G6" s="406"/>
    </row>
    <row r="7" spans="1:7" s="44" customFormat="1" ht="12.6" customHeight="1" x14ac:dyDescent="0.2">
      <c r="A7" s="113" t="s">
        <v>206</v>
      </c>
      <c r="B7" s="406"/>
      <c r="C7" s="406"/>
      <c r="D7" s="406"/>
      <c r="E7" s="406"/>
      <c r="F7" s="406"/>
      <c r="G7" s="406"/>
    </row>
    <row r="8" spans="1:7" s="44" customFormat="1" ht="12.6" customHeight="1" x14ac:dyDescent="0.2">
      <c r="A8" s="19" t="str">
        <f>IF($A$1="Português",A9,IF($A$1="English",A10,IF($A$1="Español",A11,IF($A$1="Français",A12,))))</f>
        <v xml:space="preserve">Todos os serviços/material são fornecidos em regime de aluguer durante o período de realização do Certame e são entregues aos Expositores na última tarde de montagem. </v>
      </c>
      <c r="B8" s="406"/>
      <c r="C8" s="406"/>
      <c r="D8" s="406"/>
      <c r="E8" s="406"/>
      <c r="F8" s="406"/>
      <c r="G8" s="406"/>
    </row>
    <row r="9" spans="1:7" s="44" customFormat="1" ht="12.6" customHeight="1" x14ac:dyDescent="0.2">
      <c r="A9" s="112" t="s">
        <v>207</v>
      </c>
      <c r="B9" s="406"/>
      <c r="C9" s="406"/>
      <c r="D9" s="406"/>
      <c r="E9" s="406"/>
      <c r="F9" s="406"/>
      <c r="G9" s="406"/>
    </row>
    <row r="10" spans="1:7" s="44" customFormat="1" ht="12.6" customHeight="1" x14ac:dyDescent="0.2">
      <c r="A10" s="111" t="s">
        <v>208</v>
      </c>
      <c r="B10" s="406"/>
      <c r="C10" s="406"/>
      <c r="D10" s="406"/>
      <c r="E10" s="406"/>
      <c r="F10" s="406"/>
      <c r="G10" s="406"/>
    </row>
    <row r="11" spans="1:7" s="44" customFormat="1" ht="12.6" customHeight="1" x14ac:dyDescent="0.2">
      <c r="A11" s="112" t="s">
        <v>209</v>
      </c>
      <c r="B11" s="406"/>
      <c r="C11" s="406"/>
      <c r="D11" s="406"/>
      <c r="E11" s="406"/>
      <c r="F11" s="406"/>
      <c r="G11" s="406"/>
    </row>
    <row r="12" spans="1:7" s="44" customFormat="1" ht="12.6" customHeight="1" x14ac:dyDescent="0.2">
      <c r="A12" s="113" t="s">
        <v>210</v>
      </c>
      <c r="B12" s="406"/>
      <c r="C12" s="406"/>
      <c r="D12" s="406"/>
      <c r="E12" s="406"/>
      <c r="F12" s="406"/>
      <c r="G12" s="406"/>
    </row>
    <row r="13" spans="1:7" s="44" customFormat="1" ht="12.6" customHeight="1" x14ac:dyDescent="0.2">
      <c r="A13" s="19" t="str">
        <f>IF($A$1="Português",A14,IF($A$1="English",A15,IF($A$1="Español",A16,IF($A$1="Français",A17,))))</f>
        <v>IMAGENS PARA PRODUÇÃO E APLICAÇÃO devem ser enviadas em formato digital, preferencialmente em .PDF, .TIFF ou .JPEG, com uma resolução mínima de 72 dpi’s ao tamanho natural (1:1), com as fontes convertidas em curvas.</v>
      </c>
      <c r="B13" s="406"/>
      <c r="C13" s="406"/>
      <c r="D13" s="406"/>
      <c r="E13" s="406"/>
      <c r="F13" s="406"/>
      <c r="G13" s="406"/>
    </row>
    <row r="14" spans="1:7" s="44" customFormat="1" ht="12.6" customHeight="1" x14ac:dyDescent="0.2">
      <c r="A14" s="33" t="s">
        <v>211</v>
      </c>
      <c r="B14" s="406"/>
      <c r="C14" s="406"/>
      <c r="D14" s="406"/>
      <c r="E14" s="406"/>
      <c r="F14" s="406"/>
      <c r="G14" s="406"/>
    </row>
    <row r="15" spans="1:7" s="44" customFormat="1" ht="12.6" customHeight="1" x14ac:dyDescent="0.2">
      <c r="A15" s="34" t="s">
        <v>212</v>
      </c>
      <c r="B15" s="406"/>
      <c r="C15" s="406"/>
      <c r="D15" s="406"/>
      <c r="E15" s="406"/>
      <c r="F15" s="406"/>
      <c r="G15" s="406"/>
    </row>
    <row r="16" spans="1:7" s="44" customFormat="1" ht="12.6" customHeight="1" x14ac:dyDescent="0.2">
      <c r="A16" s="129" t="s">
        <v>213</v>
      </c>
      <c r="B16" s="406"/>
      <c r="C16" s="406"/>
      <c r="D16" s="406"/>
      <c r="E16" s="406"/>
      <c r="F16" s="406"/>
      <c r="G16" s="406"/>
    </row>
    <row r="17" spans="1:7" s="44" customFormat="1" ht="12.6" customHeight="1" x14ac:dyDescent="0.2">
      <c r="A17" s="169" t="s">
        <v>214</v>
      </c>
      <c r="B17" s="406"/>
      <c r="C17" s="406"/>
      <c r="D17" s="406"/>
      <c r="E17" s="406"/>
      <c r="F17" s="406"/>
      <c r="G17" s="406"/>
    </row>
    <row r="18" spans="1:7" ht="30.6" x14ac:dyDescent="0.25">
      <c r="A18" s="19" t="str">
        <f>IF($A$1="Português",A19,IF($A$1="English",A20,IF($A$1="Español",A21,IF($A$1="Français",A22,))))</f>
        <v>O consumo de energia obrigátorio corresponde a 1KW por cada 9m2. No caso de necessitar de uma puxada de maior potencia do que a que lhe é disponibilizada -10KW-, deverá  requisitar os consumos de energia suplementar correspondentes: 
Exemplo: Se tem 54m2  e necessita de 20 KW de potência. O consumo obrigatório corresponde a 6 KW [1 KW por cada 9m2  (54:9)=6]. Como necessita de 20 KW deverá requisitar 14 KW de consumo suplementar.</v>
      </c>
    </row>
    <row r="19" spans="1:7" ht="31.2" x14ac:dyDescent="0.25">
      <c r="A19" s="55" t="s">
        <v>378</v>
      </c>
    </row>
    <row r="20" spans="1:7" ht="30.6" x14ac:dyDescent="0.25">
      <c r="A20" s="52" t="s">
        <v>143</v>
      </c>
    </row>
    <row r="21" spans="1:7" ht="31.2" x14ac:dyDescent="0.25">
      <c r="A21" s="55" t="s">
        <v>379</v>
      </c>
    </row>
    <row r="22" spans="1:7" ht="30.6" x14ac:dyDescent="0.25">
      <c r="A22" s="156" t="s">
        <v>380</v>
      </c>
    </row>
    <row r="23" spans="1:7" ht="30.6" x14ac:dyDescent="0.25">
      <c r="A23" s="19" t="str">
        <f>IF($A$1="Português",A24,IF($A$1="English",A25,IF($A$1="Español",A26,IF($A$1="Français",A27,))))</f>
        <v xml:space="preserve">Este tipo de ligação é recomendada quando o Expositor tem equipamentos de frio ou máquinas que necessitem de alimentação permanente.
A electricidade dos stands é ligada 1 hora antes do inicio do evento e desligada até 30 min. depois do seu encerramento. No caso de necessitar que a energia fique interruptamente ligada no seu stand, deverá requisitar ENERGIA PERMANENTE 24 Horas. </v>
      </c>
    </row>
    <row r="24" spans="1:7" ht="30.6" x14ac:dyDescent="0.25">
      <c r="A24" s="35" t="s">
        <v>96</v>
      </c>
    </row>
    <row r="25" spans="1:7" ht="30.6" x14ac:dyDescent="0.25">
      <c r="A25" s="36" t="s">
        <v>97</v>
      </c>
    </row>
    <row r="26" spans="1:7" ht="30.6" x14ac:dyDescent="0.25">
      <c r="A26" s="35" t="s">
        <v>98</v>
      </c>
    </row>
    <row r="27" spans="1:7" ht="20.399999999999999" x14ac:dyDescent="0.25">
      <c r="A27" s="56" t="s">
        <v>99</v>
      </c>
    </row>
    <row r="28" spans="1:7" ht="30.6" x14ac:dyDescent="0.25">
      <c r="A28" s="19" t="str">
        <f>IF($A$1="Português",A29,IF($A$1="English",A30,IF($A$1="Español",A31,IF($A$1="Français",A32,))))</f>
        <v>A instalação de um quadro eléctrico é obrigatória. Se pretender poderá requisitá-lo à FIL. A potência eléctrica a instalar, depende das necessidades dos equipamentos eléctricos que forem colocados no stand. Todos os quadros eléctricos alugados à FIL possuem uma tomada tripla 220V, deverá também pedir a puxada correspondente. 
Nota: Todos os Stands fornecidos pela FIL, incluem quadro eléctrico.</v>
      </c>
    </row>
    <row r="29" spans="1:7" ht="30.6" x14ac:dyDescent="0.25">
      <c r="A29" s="35" t="s">
        <v>1056</v>
      </c>
    </row>
    <row r="30" spans="1:7" ht="40.799999999999997" x14ac:dyDescent="0.25">
      <c r="A30" s="36" t="s">
        <v>1057</v>
      </c>
    </row>
    <row r="31" spans="1:7" ht="30.6" x14ac:dyDescent="0.25">
      <c r="A31" s="35" t="s">
        <v>1058</v>
      </c>
    </row>
    <row r="32" spans="1:7" ht="30.6" x14ac:dyDescent="0.25">
      <c r="A32" s="56" t="s">
        <v>1059</v>
      </c>
    </row>
    <row r="33" spans="1:7" ht="51" x14ac:dyDescent="0.25">
      <c r="A33" s="19" t="str">
        <f>IF($A$1="Português",A34,IF($A$1="English",A35,IF($A$1="Español",A36,IF($A$1="Français",A37,))))</f>
        <v>É o serviço que vai permitir a existência de corrente eléctrica no stand.
É disponibilizado a todos os expositores um cabo/puxada trifásico com potência até 10 KW com uma ligação por tomada trifásica de 32 Amperes tipo CEE 32A /5 pinos fêmea. Se esta energia for suficiente para o seu stand, não é necessário requisitar outra puxada. 
Este serviço é obrigatório e a sua montagem é da exclusiva responsabilidade dos serviços da FIL. 
Requer uma ficha macho do tipo CEE 32A/5 pinos macho. É obrigatória a instalação de quadro eléctrico, não incluído.</v>
      </c>
    </row>
    <row r="34" spans="1:7" ht="51" x14ac:dyDescent="0.25">
      <c r="A34" s="68" t="s">
        <v>167</v>
      </c>
    </row>
    <row r="35" spans="1:7" ht="40.799999999999997" x14ac:dyDescent="0.25">
      <c r="A35" s="52" t="s">
        <v>365</v>
      </c>
    </row>
    <row r="36" spans="1:7" ht="51.6" x14ac:dyDescent="0.25">
      <c r="A36" s="55" t="s">
        <v>168</v>
      </c>
    </row>
    <row r="37" spans="1:7" ht="41.4" x14ac:dyDescent="0.25">
      <c r="A37" s="70" t="s">
        <v>169</v>
      </c>
    </row>
    <row r="38" spans="1:7" s="44" customFormat="1" ht="40.799999999999997" x14ac:dyDescent="0.2">
      <c r="A38" s="19" t="str">
        <f>IF($A$1="Português",A39,IF($A$1="English",A40,IF($A$1="Español",A41,IF($A$1="Français",A42,))))</f>
        <v>A água fria é fornecida pela instalação de mangueira cristal de 15 mm com torneiras de 3/8 ou ½ polegada e drenagem de líquidos/esgoto 
com tubo 40 mm
Para fornecimento de água quente é instalado um termoacumulador.
Não são permitidas derivações . Deve ser requisitado 1 ponto de água para cada equipamento.</v>
      </c>
      <c r="B38" s="406"/>
      <c r="C38" s="406"/>
      <c r="D38" s="406"/>
      <c r="E38" s="406"/>
      <c r="F38" s="406"/>
      <c r="G38" s="406"/>
    </row>
    <row r="39" spans="1:7" s="44" customFormat="1" ht="40.799999999999997" x14ac:dyDescent="0.2">
      <c r="A39" s="71" t="s">
        <v>632</v>
      </c>
      <c r="B39" s="406"/>
      <c r="C39" s="406"/>
      <c r="D39" s="406"/>
      <c r="E39" s="406"/>
      <c r="F39" s="406"/>
      <c r="G39" s="406"/>
    </row>
    <row r="40" spans="1:7" s="44" customFormat="1" ht="30.6" x14ac:dyDescent="0.2">
      <c r="A40" s="72" t="s">
        <v>136</v>
      </c>
      <c r="B40" s="406"/>
      <c r="C40" s="406"/>
      <c r="D40" s="406"/>
      <c r="E40" s="406"/>
      <c r="F40" s="406"/>
      <c r="G40" s="406"/>
    </row>
    <row r="41" spans="1:7" s="44" customFormat="1" ht="30.6" x14ac:dyDescent="0.2">
      <c r="A41" s="71" t="s">
        <v>137</v>
      </c>
      <c r="B41" s="406"/>
      <c r="C41" s="406"/>
      <c r="D41" s="406"/>
      <c r="E41" s="406"/>
      <c r="F41" s="406"/>
      <c r="G41" s="406"/>
    </row>
    <row r="42" spans="1:7" s="44" customFormat="1" ht="40.799999999999997" x14ac:dyDescent="0.2">
      <c r="A42" s="73" t="s">
        <v>633</v>
      </c>
      <c r="B42" s="406"/>
      <c r="C42" s="406"/>
      <c r="D42" s="406"/>
      <c r="E42" s="406"/>
      <c r="F42" s="406"/>
      <c r="G42" s="406"/>
    </row>
    <row r="43" spans="1:7" ht="30.6" x14ac:dyDescent="0.25">
      <c r="A43" s="38" t="str">
        <f>IF($A$1="Português",A44,(IF($A$1="English",A45,(IF($A$1="Español",A46,(IF($A$1="Français",A47,)))))))</f>
        <v>NÃO É PERMITIDO aos clientes ligar os seus próprios equipamentos de distribuição de rede, por exemplo, routers, switches, hubs, Access points/antenas, etc., bem como a utilização de sistemas que recorram à tecnologia Wi-Fi por ex. sistemas robotizados, excepto se previamente justificado por escrito, e aprovado pela Feira Internacional de Lisboa (FIL).  
Qualquer situação detectada que vá contra estas determinações, serão tomadas medidas em conformidade e aos responsáveis serão imputados os custos por possíveis danos e perdas da FIL ou de terceiros.</v>
      </c>
    </row>
    <row r="44" spans="1:7" ht="30.6" x14ac:dyDescent="0.25">
      <c r="A44" s="68" t="s">
        <v>239</v>
      </c>
    </row>
    <row r="45" spans="1:7" ht="40.799999999999997" x14ac:dyDescent="0.25">
      <c r="A45" s="48" t="s">
        <v>240</v>
      </c>
    </row>
    <row r="46" spans="1:7" ht="30.6" x14ac:dyDescent="0.25">
      <c r="A46" s="49" t="s">
        <v>241</v>
      </c>
    </row>
    <row r="47" spans="1:7" ht="30.6" x14ac:dyDescent="0.25">
      <c r="A47" s="69" t="s">
        <v>242</v>
      </c>
    </row>
    <row r="48" spans="1:7" ht="40.799999999999997" x14ac:dyDescent="0.25">
      <c r="A48" s="19" t="str">
        <f>IF($A$1="Português",A49,IF($A$1="English",A50,IF($A$1="Español",A51,IF($A$1="Français",A52,))))</f>
        <v>1 Ponto de Rede com INTERNET para 1 PC: Este tipo de ligação, é na maioria dos casos a mais adequada às necessidades de acesso à Internet (navegar na Internet e enviar/receber e-mails). 
Especificações técnicas: Rede com Acesso Internet, com DHCP fornecendo IP Privado com DNS, Largura de banda partilhada até 1 Mbps com uma taxa de contenção de 1:10, sem limite de tráfego. Terminações RJ45.  A largura de banda adicional é recomendada se o expositor necessitar de velocidade no acesso (transmissões vídeo, webcast, VPN, etc). Neste caso a Largura de Banda solicitada é integral, isto é, com uma taxa de contenção de 1:1. 
Largura de banda superiores a 100Mbps,  necessitam  ser requisitada pelo menos com 1 mês de antecedência.</v>
      </c>
    </row>
    <row r="49" spans="1:7" ht="40.799999999999997" x14ac:dyDescent="0.25">
      <c r="A49" s="68" t="s">
        <v>243</v>
      </c>
    </row>
    <row r="50" spans="1:7" ht="51" x14ac:dyDescent="0.25">
      <c r="A50" s="48" t="s">
        <v>462</v>
      </c>
    </row>
    <row r="51" spans="1:7" ht="51" x14ac:dyDescent="0.25">
      <c r="A51" s="49" t="s">
        <v>244</v>
      </c>
    </row>
    <row r="52" spans="1:7" ht="51" x14ac:dyDescent="0.25">
      <c r="A52" s="69" t="s">
        <v>245</v>
      </c>
    </row>
    <row r="53" spans="1:7" ht="20.399999999999999" x14ac:dyDescent="0.25">
      <c r="A53" s="19" t="str">
        <f>IF($A$1="Português",A54,IF($A$1="English",A55,IF($A$1="Español",A56,IF($A$1="Français",A57,))))</f>
        <v>Acesso gratuíto a rede Wi-Fi existente nos Pavilhões da FIL, na frequência 2.4GHz, sem limite de utilizadores. A FIL não garante a velocidade de navegação nesta rede, que estará condicionada pelo número de utilizadores e pelo ruído existente no recinto.</v>
      </c>
    </row>
    <row r="54" spans="1:7" ht="20.399999999999999" x14ac:dyDescent="0.25">
      <c r="A54" s="37" t="s">
        <v>250</v>
      </c>
    </row>
    <row r="55" spans="1:7" ht="20.399999999999999" x14ac:dyDescent="0.25">
      <c r="A55" s="39" t="s">
        <v>251</v>
      </c>
    </row>
    <row r="56" spans="1:7" ht="20.399999999999999" x14ac:dyDescent="0.25">
      <c r="A56" s="37" t="s">
        <v>253</v>
      </c>
    </row>
    <row r="57" spans="1:7" ht="20.399999999999999" x14ac:dyDescent="0.25">
      <c r="A57" s="67" t="s">
        <v>252</v>
      </c>
    </row>
    <row r="58" spans="1:7" s="44" customFormat="1" ht="30.6" x14ac:dyDescent="0.2">
      <c r="A58" s="19" t="str">
        <f>IF($A$1="Português",A59,IF($A$1="English",A60,IF($A$1="Español",A61,IF($A$1="Français",A62,))))</f>
        <v>Para utilização da rede Premium é necessário que os utilizadores tenham dispositivos que lhes permitam aceder ao wi-fi na frequência 5GHz. A rede Premium estará disponível em todos os pavilhões do evento e permite aos utilizadores navegarem de forma mais rápida e com menos interferências. A rede wi-fi está dimensionada para um uso não intensivo. Para uma utilização profissional ou de demonstrações recomendamos a utilização de internet cablada/ponto de rede com acesso à internet.</v>
      </c>
      <c r="B58" s="406"/>
      <c r="C58" s="406"/>
      <c r="D58" s="406"/>
      <c r="E58" s="406"/>
      <c r="F58" s="406"/>
      <c r="G58" s="406"/>
    </row>
    <row r="59" spans="1:7" s="44" customFormat="1" ht="30.6" x14ac:dyDescent="0.2">
      <c r="A59" s="71" t="s">
        <v>247</v>
      </c>
      <c r="B59" s="406"/>
      <c r="C59" s="406"/>
      <c r="D59" s="406"/>
      <c r="E59" s="406"/>
      <c r="F59" s="406"/>
      <c r="G59" s="406"/>
    </row>
    <row r="60" spans="1:7" s="44" customFormat="1" ht="40.799999999999997" x14ac:dyDescent="0.2">
      <c r="A60" s="72" t="s">
        <v>238</v>
      </c>
      <c r="B60" s="406"/>
      <c r="C60" s="406"/>
      <c r="D60" s="406"/>
      <c r="E60" s="406"/>
      <c r="F60" s="406"/>
      <c r="G60" s="406"/>
    </row>
    <row r="61" spans="1:7" s="44" customFormat="1" ht="30.6" x14ac:dyDescent="0.2">
      <c r="A61" s="71" t="s">
        <v>246</v>
      </c>
      <c r="B61" s="406"/>
      <c r="C61" s="406"/>
      <c r="D61" s="406"/>
      <c r="E61" s="406"/>
      <c r="F61" s="406"/>
      <c r="G61" s="406"/>
    </row>
    <row r="62" spans="1:7" s="44" customFormat="1" ht="30.6" x14ac:dyDescent="0.2">
      <c r="A62" s="73" t="s">
        <v>248</v>
      </c>
      <c r="B62" s="406"/>
      <c r="C62" s="406"/>
      <c r="D62" s="406"/>
      <c r="E62" s="406"/>
      <c r="F62" s="406"/>
      <c r="G62" s="406"/>
    </row>
    <row r="63" spans="1:7" s="44" customFormat="1" ht="20.399999999999999" x14ac:dyDescent="0.2">
      <c r="A63" s="19" t="str">
        <f>IF($A$1="Português",A64,IF($A$1="English",A65,IF($A$1="Español",A66,IF($A$1="Français",A67,))))</f>
        <v xml:space="preserve">Disponibilização de uma rede wi-fi dedicada ao seu stand. Esta rede ficará disponível para utilização apenas na área do stand e poderá ter nome da rede/SSID e chave/password personalizável
A largura de banda base será de 10Mbps, podendo ser alterada mediante compra de mais largura de banda. </v>
      </c>
      <c r="B63" s="406"/>
      <c r="C63" s="406"/>
      <c r="D63" s="406"/>
      <c r="E63" s="406"/>
      <c r="F63" s="406"/>
      <c r="G63" s="406"/>
    </row>
    <row r="64" spans="1:7" s="44" customFormat="1" ht="20.399999999999999" x14ac:dyDescent="0.2">
      <c r="A64" s="71" t="s">
        <v>249</v>
      </c>
      <c r="B64" s="406"/>
      <c r="C64" s="406"/>
      <c r="D64" s="406"/>
      <c r="E64" s="406"/>
      <c r="F64" s="406"/>
      <c r="G64" s="406"/>
    </row>
    <row r="65" spans="1:7" s="44" customFormat="1" ht="20.399999999999999" x14ac:dyDescent="0.2">
      <c r="A65" s="72" t="s">
        <v>236</v>
      </c>
      <c r="B65" s="406"/>
      <c r="C65" s="406"/>
      <c r="D65" s="406"/>
      <c r="E65" s="406"/>
      <c r="F65" s="406"/>
      <c r="G65" s="406"/>
    </row>
    <row r="66" spans="1:7" s="44" customFormat="1" ht="20.399999999999999" x14ac:dyDescent="0.2">
      <c r="A66" s="71" t="s">
        <v>235</v>
      </c>
      <c r="B66" s="406"/>
      <c r="C66" s="406"/>
      <c r="D66" s="406"/>
      <c r="E66" s="406"/>
      <c r="F66" s="406"/>
      <c r="G66" s="406"/>
    </row>
    <row r="67" spans="1:7" s="44" customFormat="1" ht="20.399999999999999" x14ac:dyDescent="0.2">
      <c r="A67" s="73" t="s">
        <v>237</v>
      </c>
      <c r="B67" s="406"/>
      <c r="C67" s="406"/>
      <c r="D67" s="406"/>
      <c r="E67" s="406"/>
      <c r="F67" s="406"/>
      <c r="G67" s="406"/>
    </row>
    <row r="68" spans="1:7" x14ac:dyDescent="0.25">
      <c r="A68" s="19" t="str">
        <f>IF($A$1="Português",A69,IF($A$1="English",A70,IF($A$1="Español",A71,IF($A$1="Français",A72,))))</f>
        <v xml:space="preserve">Tem por função: Distribuição de material promocional no espaço do stand; Apoio protocolar; Demonstração dos produtos e serviços; Atendimento dos clientes. </v>
      </c>
    </row>
    <row r="69" spans="1:7" x14ac:dyDescent="0.25">
      <c r="A69" s="68" t="s">
        <v>338</v>
      </c>
    </row>
    <row r="70" spans="1:7" x14ac:dyDescent="0.25">
      <c r="A70" s="52" t="s">
        <v>339</v>
      </c>
    </row>
    <row r="71" spans="1:7" x14ac:dyDescent="0.25">
      <c r="A71" s="68" t="s">
        <v>340</v>
      </c>
    </row>
    <row r="72" spans="1:7" x14ac:dyDescent="0.25">
      <c r="A72" s="156" t="s">
        <v>341</v>
      </c>
    </row>
    <row r="73" spans="1:7" ht="20.399999999999999" x14ac:dyDescent="0.25">
      <c r="A73" s="19" t="str">
        <f>IF($A$1="Português",A74,IF($A$1="English",A75,IF($A$1="Español",A76,IF($A$1="Français",A77,))))</f>
        <v xml:space="preserve">Horário - Exclusivamente o horário do certame e inclui uma hora de pausa para refeição. 
No primeiro dia de feira, apresentar-se-ão ½ hora antes do início da realização, nos restantes dias, no horário de abertura do certame. </v>
      </c>
    </row>
    <row r="74" spans="1:7" ht="20.399999999999999" x14ac:dyDescent="0.25">
      <c r="A74" s="68" t="s">
        <v>346</v>
      </c>
    </row>
    <row r="75" spans="1:7" x14ac:dyDescent="0.25">
      <c r="A75" s="52" t="s">
        <v>347</v>
      </c>
    </row>
    <row r="76" spans="1:7" ht="20.399999999999999" x14ac:dyDescent="0.25">
      <c r="A76" s="68" t="s">
        <v>348</v>
      </c>
    </row>
    <row r="77" spans="1:7" ht="21" x14ac:dyDescent="0.25">
      <c r="A77" s="157" t="s">
        <v>349</v>
      </c>
    </row>
    <row r="78" spans="1:7" x14ac:dyDescent="0.25">
      <c r="A78" s="19" t="str">
        <f>IF($A$1="Português",A79,IF($A$1="English",A80,IF($A$1="Español",A81,IF($A$1="Français",A82,))))</f>
        <v>Tem por função garantir a segurança dos produtos expostos no Stand.</v>
      </c>
    </row>
    <row r="79" spans="1:7" x14ac:dyDescent="0.25">
      <c r="A79" s="51" t="s">
        <v>350</v>
      </c>
    </row>
    <row r="80" spans="1:7" x14ac:dyDescent="0.25">
      <c r="A80" s="52" t="s">
        <v>351</v>
      </c>
    </row>
    <row r="81" spans="1:1" x14ac:dyDescent="0.25">
      <c r="A81" s="51" t="s">
        <v>352</v>
      </c>
    </row>
    <row r="82" spans="1:1" x14ac:dyDescent="0.25">
      <c r="A82" s="156" t="s">
        <v>353</v>
      </c>
    </row>
    <row r="83" spans="1:1" x14ac:dyDescent="0.25">
      <c r="A83" s="19" t="str">
        <f>IF($A$1="Português",A84,IF($A$1="English",A85,IF($A$1="Español",A86,IF($A$1="Français",A87,))))</f>
        <v>Segurança durante o dia - 1 dia de realização da Feira. Segurança durante a Noite - Da hora de encerramento até à hora de realização.</v>
      </c>
    </row>
    <row r="84" spans="1:1" x14ac:dyDescent="0.25">
      <c r="A84" s="51" t="s">
        <v>874</v>
      </c>
    </row>
    <row r="85" spans="1:1" x14ac:dyDescent="0.25">
      <c r="A85" s="52" t="s">
        <v>875</v>
      </c>
    </row>
    <row r="86" spans="1:1" x14ac:dyDescent="0.25">
      <c r="A86" s="51" t="s">
        <v>876</v>
      </c>
    </row>
    <row r="87" spans="1:1" x14ac:dyDescent="0.25">
      <c r="A87" s="156" t="s">
        <v>877</v>
      </c>
    </row>
    <row r="88" spans="1:1" x14ac:dyDescent="0.25">
      <c r="A88" s="19" t="str">
        <f>IF($A$1="Português",A89,IF($A$1="English",A90,IF($A$1="Español",A91,IF($A$1="Français",A92,))))</f>
        <v xml:space="preserve">Se pretende efectuar um briefing antes do início do certame, deve mencionar essa necessidade no campo das observações, nesse caso, os seguranças apresentar-se-ão no primeiro dia de feira, ½ hora antes do início da realização. </v>
      </c>
    </row>
    <row r="89" spans="1:1" x14ac:dyDescent="0.25">
      <c r="A89" s="51" t="s">
        <v>878</v>
      </c>
    </row>
    <row r="90" spans="1:1" x14ac:dyDescent="0.25">
      <c r="A90" s="52" t="s">
        <v>879</v>
      </c>
    </row>
    <row r="91" spans="1:1" x14ac:dyDescent="0.25">
      <c r="A91" s="51" t="s">
        <v>881</v>
      </c>
    </row>
    <row r="92" spans="1:1" ht="20.399999999999999" x14ac:dyDescent="0.25">
      <c r="A92" s="156" t="s">
        <v>880</v>
      </c>
    </row>
    <row r="93" spans="1:1" ht="30.6" x14ac:dyDescent="0.25">
      <c r="A93" s="19" t="str">
        <f>IF($A$1="Português",A94,IF($A$1="English",A95,IF($A$1="Español",A96,IF($A$1="Français",A97,))))</f>
        <v>Segurança durante o dia - 1 dia de realização da Feira. Segurança durante a Noite - Da hora de encerramento até à hora de realização.
Se pretende efectuar um briefing antes do início do certame, deve mencionar essa necessidade no campo das observações, nesse caso, os seguranças apresentar-se-ão no primeiro dia de feira, ½ hora antes do início da realização. 
Caso contrário, apresentar-se-ão no stand, à hora de abertura do Certame.</v>
      </c>
    </row>
    <row r="94" spans="1:1" ht="30.6" x14ac:dyDescent="0.25">
      <c r="A94" s="51" t="s">
        <v>358</v>
      </c>
    </row>
    <row r="95" spans="1:1" ht="30.6" x14ac:dyDescent="0.25">
      <c r="A95" s="52" t="s">
        <v>359</v>
      </c>
    </row>
    <row r="96" spans="1:1" ht="30.6" x14ac:dyDescent="0.25">
      <c r="A96" s="51" t="s">
        <v>360</v>
      </c>
    </row>
    <row r="97" spans="1:1" ht="40.799999999999997" x14ac:dyDescent="0.25">
      <c r="A97" s="156" t="s">
        <v>361</v>
      </c>
    </row>
    <row r="98" spans="1:1" ht="20.399999999999999" x14ac:dyDescent="0.25">
      <c r="A98" s="19" t="str">
        <f>IF($A$1="Português",A99,IF($A$1="English",A100,IF($A$1="Español",A101,IF($A$1="Français",A102,))))</f>
        <v>• Limpeza antes da abertura do Certame, após o término das montagens no pavilhão (Remoção dos plásticos protectores da alcatifa 
   do stand; Aspiração de alcatifa; Lavagem de pavimentos; Limpeza de mobiliário).</v>
      </c>
    </row>
    <row r="99" spans="1:1" ht="20.399999999999999" x14ac:dyDescent="0.25">
      <c r="A99" s="35" t="s">
        <v>830</v>
      </c>
    </row>
    <row r="100" spans="1:1" ht="20.399999999999999" x14ac:dyDescent="0.25">
      <c r="A100" s="36" t="s">
        <v>831</v>
      </c>
    </row>
    <row r="101" spans="1:1" ht="20.399999999999999" x14ac:dyDescent="0.25">
      <c r="A101" s="35" t="s">
        <v>832</v>
      </c>
    </row>
    <row r="102" spans="1:1" ht="20.399999999999999" x14ac:dyDescent="0.25">
      <c r="A102" s="171" t="s">
        <v>833</v>
      </c>
    </row>
    <row r="103" spans="1:1" x14ac:dyDescent="0.25">
      <c r="A103" s="19" t="str">
        <f>IF($A$1="Português",A104,IF($A$1="English",A105,IF($A$1="Español",A106,IF($A$1="Français",A107,))))</f>
        <v>• Limpeza diária até uma hora antes da abertura do Certame (Aspiração de alcatifas e Limpeza de pó).</v>
      </c>
    </row>
    <row r="104" spans="1:1" x14ac:dyDescent="0.25">
      <c r="A104" s="35" t="s">
        <v>834</v>
      </c>
    </row>
    <row r="105" spans="1:1" x14ac:dyDescent="0.25">
      <c r="A105" s="36" t="s">
        <v>835</v>
      </c>
    </row>
    <row r="106" spans="1:1" x14ac:dyDescent="0.25">
      <c r="A106" s="35" t="s">
        <v>836</v>
      </c>
    </row>
    <row r="107" spans="1:1" x14ac:dyDescent="0.25">
      <c r="A107" s="171" t="s">
        <v>837</v>
      </c>
    </row>
    <row r="108" spans="1:1" x14ac:dyDescent="0.25">
      <c r="A108" s="19" t="str">
        <f>IF($A$1="Português",A109,IF($A$1="English",A110,IF($A$1="Español",A111,IF($A$1="Français",A112,))))</f>
        <v xml:space="preserve">• Piquete rotativo 2 vezes por dia durante a realização para a recolha de lixos; </v>
      </c>
    </row>
    <row r="109" spans="1:1" x14ac:dyDescent="0.25">
      <c r="A109" s="35" t="s">
        <v>838</v>
      </c>
    </row>
    <row r="110" spans="1:1" x14ac:dyDescent="0.25">
      <c r="A110" s="36" t="s">
        <v>839</v>
      </c>
    </row>
    <row r="111" spans="1:1" x14ac:dyDescent="0.25">
      <c r="A111" s="35" t="s">
        <v>840</v>
      </c>
    </row>
    <row r="112" spans="1:1" x14ac:dyDescent="0.25">
      <c r="A112" s="171" t="s">
        <v>841</v>
      </c>
    </row>
    <row r="113" spans="1:1" x14ac:dyDescent="0.25">
      <c r="A113" s="19" t="str">
        <f>IF($A$1="Português",A114,IF($A$1="English",A115,IF($A$1="Español",A116,IF($A$1="Français",A117,))))</f>
        <v>• Limpeza dos cestos de lixo;</v>
      </c>
    </row>
    <row r="114" spans="1:1" x14ac:dyDescent="0.25">
      <c r="A114" s="35" t="s">
        <v>844</v>
      </c>
    </row>
    <row r="115" spans="1:1" x14ac:dyDescent="0.25">
      <c r="A115" s="36" t="s">
        <v>842</v>
      </c>
    </row>
    <row r="116" spans="1:1" x14ac:dyDescent="0.25">
      <c r="A116" s="35" t="s">
        <v>843</v>
      </c>
    </row>
    <row r="117" spans="1:1" x14ac:dyDescent="0.25">
      <c r="A117" s="171" t="s">
        <v>845</v>
      </c>
    </row>
    <row r="118" spans="1:1" x14ac:dyDescent="0.25">
      <c r="A118" s="19" t="str">
        <f>IF($A$1="Português",A119,IF($A$1="English",A120,IF($A$1="Español",A121,IF($A$1="Français",A122,))))</f>
        <v>• Pequenas limpezas irregulares em zonas com derrames e a pedido dos expositores, com excepção de aspirações.</v>
      </c>
    </row>
    <row r="119" spans="1:1" x14ac:dyDescent="0.25">
      <c r="A119" s="35" t="s">
        <v>846</v>
      </c>
    </row>
    <row r="120" spans="1:1" x14ac:dyDescent="0.25">
      <c r="A120" s="36" t="s">
        <v>847</v>
      </c>
    </row>
    <row r="121" spans="1:1" x14ac:dyDescent="0.25">
      <c r="A121" s="35" t="s">
        <v>848</v>
      </c>
    </row>
    <row r="122" spans="1:1" x14ac:dyDescent="0.25">
      <c r="A122" s="171" t="s">
        <v>849</v>
      </c>
    </row>
    <row r="123" spans="1:1" x14ac:dyDescent="0.25">
      <c r="A123" s="19" t="str">
        <f>IF($A$1="Português",A124,IF($A$1="English",A125,IF($A$1="Español",A126,IF($A$1="Français",A127,))))</f>
        <v>• Limpeza de objectos ou produtos expostos; (sujeita a Orçamento)</v>
      </c>
    </row>
    <row r="124" spans="1:1" x14ac:dyDescent="0.25">
      <c r="A124" s="176" t="s">
        <v>850</v>
      </c>
    </row>
    <row r="125" spans="1:1" x14ac:dyDescent="0.25">
      <c r="A125" s="36" t="s">
        <v>851</v>
      </c>
    </row>
    <row r="126" spans="1:1" x14ac:dyDescent="0.25">
      <c r="A126" s="35" t="s">
        <v>852</v>
      </c>
    </row>
    <row r="127" spans="1:1" x14ac:dyDescent="0.25">
      <c r="A127" s="171" t="s">
        <v>853</v>
      </c>
    </row>
    <row r="128" spans="1:1" x14ac:dyDescent="0.25">
      <c r="A128" s="19" t="str">
        <f>IF($A$1="Português",A129,IF($A$1="English",A130,IF($A$1="Español",A131,IF($A$1="Français",A132,))))</f>
        <v xml:space="preserve">• Remoção de materiais e utensílios sobrantes de montagens; </v>
      </c>
    </row>
    <row r="129" spans="1:1" x14ac:dyDescent="0.25">
      <c r="A129" s="176" t="s">
        <v>854</v>
      </c>
    </row>
    <row r="130" spans="1:1" x14ac:dyDescent="0.25">
      <c r="A130" s="36" t="s">
        <v>855</v>
      </c>
    </row>
    <row r="131" spans="1:1" x14ac:dyDescent="0.25">
      <c r="A131" s="35" t="s">
        <v>856</v>
      </c>
    </row>
    <row r="132" spans="1:1" x14ac:dyDescent="0.25">
      <c r="A132" s="171" t="s">
        <v>857</v>
      </c>
    </row>
    <row r="133" spans="1:1" x14ac:dyDescent="0.25">
      <c r="A133" s="19" t="str">
        <f>IF($A$1="Português",A134,IF($A$1="English",A135,IF($A$1="Español",A136,IF($A$1="Français",A137,))))</f>
        <v xml:space="preserve">• Lavagem de alcatifas e remoção de nódoas; . </v>
      </c>
    </row>
    <row r="134" spans="1:1" x14ac:dyDescent="0.25">
      <c r="A134" s="176" t="s">
        <v>858</v>
      </c>
    </row>
    <row r="135" spans="1:1" x14ac:dyDescent="0.25">
      <c r="A135" s="36" t="s">
        <v>859</v>
      </c>
    </row>
    <row r="136" spans="1:1" x14ac:dyDescent="0.25">
      <c r="A136" s="35" t="s">
        <v>860</v>
      </c>
    </row>
    <row r="137" spans="1:1" x14ac:dyDescent="0.25">
      <c r="A137" s="171" t="s">
        <v>861</v>
      </c>
    </row>
    <row r="138" spans="1:1" x14ac:dyDescent="0.25">
      <c r="A138" s="19" t="str">
        <f>IF($A$1="Português",A139,IF($A$1="English",A140,IF($A$1="Español",A141,IF($A$1="Français",A142,))))</f>
        <v xml:space="preserve">• Lavagem com meios mecânicos de pavimentos; </v>
      </c>
    </row>
    <row r="139" spans="1:1" x14ac:dyDescent="0.25">
      <c r="A139" s="176" t="s">
        <v>862</v>
      </c>
    </row>
    <row r="140" spans="1:1" x14ac:dyDescent="0.25">
      <c r="A140" s="36" t="s">
        <v>863</v>
      </c>
    </row>
    <row r="141" spans="1:1" x14ac:dyDescent="0.25">
      <c r="A141" s="35" t="s">
        <v>864</v>
      </c>
    </row>
    <row r="142" spans="1:1" x14ac:dyDescent="0.25">
      <c r="A142" s="171" t="s">
        <v>865</v>
      </c>
    </row>
    <row r="143" spans="1:1" x14ac:dyDescent="0.25">
      <c r="A143" s="19" t="str">
        <f>IF($A$1="Português",A144,IF($A$1="English",A145,IF($A$1="Español",A146,IF($A$1="Français",A147,))))</f>
        <v xml:space="preserve">• Tratamento de pavimentos, tais como: Selagens, enceramentos e vitrificações de pavimentos em mármore, lustragens, etc;. </v>
      </c>
    </row>
    <row r="144" spans="1:1" x14ac:dyDescent="0.25">
      <c r="A144" s="176" t="s">
        <v>866</v>
      </c>
    </row>
    <row r="145" spans="1:1" x14ac:dyDescent="0.25">
      <c r="A145" s="36" t="s">
        <v>867</v>
      </c>
    </row>
    <row r="146" spans="1:1" x14ac:dyDescent="0.25">
      <c r="A146" s="35" t="s">
        <v>868</v>
      </c>
    </row>
    <row r="147" spans="1:1" x14ac:dyDescent="0.25">
      <c r="A147" s="171" t="s">
        <v>869</v>
      </c>
    </row>
    <row r="148" spans="1:1" x14ac:dyDescent="0.25">
      <c r="A148" s="19" t="str">
        <f>IF($A$1="Português",A149,IF($A$1="English",A150,IF($A$1="Español",A151,IF($A$1="Français",A152,))))</f>
        <v xml:space="preserve">• Remoção de colas em mobiliário e painéis verticais. </v>
      </c>
    </row>
    <row r="149" spans="1:1" x14ac:dyDescent="0.25">
      <c r="A149" s="176" t="s">
        <v>870</v>
      </c>
    </row>
    <row r="150" spans="1:1" x14ac:dyDescent="0.25">
      <c r="A150" s="36" t="s">
        <v>871</v>
      </c>
    </row>
    <row r="151" spans="1:1" x14ac:dyDescent="0.25">
      <c r="A151" s="35" t="s">
        <v>872</v>
      </c>
    </row>
    <row r="152" spans="1:1" x14ac:dyDescent="0.25">
      <c r="A152" s="171" t="s">
        <v>873</v>
      </c>
    </row>
    <row r="153" spans="1:1" ht="40.799999999999997" x14ac:dyDescent="0.25">
      <c r="A153" s="19" t="str">
        <f>IF($A$1="Português",A154,IF($A$1="English",A155,IF($A$1="Español",A156,IF($A$1="Français",A157,))))</f>
        <v>O parque de estacionamento situado nas instalações da FIL encontra-se concessionado à Placegar – Gestão de Estacionamentos.
A FIL em articulação com este concessionário, mantém a venda de cartões de parque nas feiras, válidos para o período de montagem, realização e desmontagem na totalidade dos horários definidos para cada um destes períodos. 
O parque de estacionamento funciona 24 horas por dia.
O Expositor poderá ainda adquirir nas máquinas de pagamento do parque de estacionamento, o bilhete diário pelo valor de 15,00€ (P.V.P).</v>
      </c>
    </row>
    <row r="154" spans="1:1" ht="40.799999999999997" x14ac:dyDescent="0.25">
      <c r="A154" s="349" t="s">
        <v>1143</v>
      </c>
    </row>
    <row r="155" spans="1:1" ht="40.799999999999997" x14ac:dyDescent="0.25">
      <c r="A155" s="350" t="s">
        <v>1144</v>
      </c>
    </row>
    <row r="156" spans="1:1" ht="51" x14ac:dyDescent="0.25">
      <c r="A156" s="349" t="s">
        <v>1145</v>
      </c>
    </row>
    <row r="157" spans="1:1" s="57" customFormat="1" ht="40.799999999999997" x14ac:dyDescent="0.25">
      <c r="A157" s="351" t="s">
        <v>1146</v>
      </c>
    </row>
    <row r="158" spans="1:1" ht="61.2" x14ac:dyDescent="0.25">
      <c r="A158" s="19" t="str">
        <f>IF($A$1="Português",A159,IF($A$1="English",A160,IF($A$1="Español",A161,IF($A$1="Français",A162,))))</f>
        <v>A FIL envia os bilhetes de forma digital, pelo que irá receber um e-mail com um link de acesso à plataforma.
Para enviar os seus bilhetes basta inserir o e-mail dos seus convidados e seleccionar o número que pretende atribuir. 
Pode visualizar o estado dos bilhetes emitidos e aceites em tempo real.
Os seus convidados ficam automaticamente credenciados para a feira e podem apresentar o bilhete num dispositivo móvel, não sendo necessária a impressão
Após a data limite, ÚLTIMO DIA DE MONTAGEM até às 17H00, não será possível requisitar bilhetes pelo que na eventualidade do expositor necessitar de bilhetes terá de adquirir ao preço de bilheteira.  
Na eventualidade da FIL disponibilizar o Serviço de Impressão dos convites, os mesmos terão um preço unitário de 0,25 € + IVA.</v>
      </c>
    </row>
    <row r="159" spans="1:1" ht="61.2" x14ac:dyDescent="0.25">
      <c r="A159" s="68" t="s">
        <v>930</v>
      </c>
    </row>
    <row r="160" spans="1:1" ht="61.2" x14ac:dyDescent="0.25">
      <c r="A160" s="52" t="s">
        <v>933</v>
      </c>
    </row>
    <row r="161" spans="1:1" ht="61.2" x14ac:dyDescent="0.25">
      <c r="A161" s="68" t="s">
        <v>931</v>
      </c>
    </row>
    <row r="162" spans="1:1" ht="61.2" x14ac:dyDescent="0.25">
      <c r="A162" s="69" t="s">
        <v>932</v>
      </c>
    </row>
  </sheetData>
  <sheetProtection selectLockedCell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C142-4F28-4A38-8302-6F486636541F}">
  <dimension ref="A1:O55"/>
  <sheetViews>
    <sheetView showGridLines="0" topLeftCell="G1" zoomScaleNormal="100" workbookViewId="0">
      <selection activeCell="H2" sqref="H2:I3"/>
    </sheetView>
  </sheetViews>
  <sheetFormatPr defaultColWidth="9.109375" defaultRowHeight="12" customHeight="1" x14ac:dyDescent="0.2"/>
  <cols>
    <col min="1" max="1" width="15.21875" style="22" bestFit="1" customWidth="1"/>
    <col min="2" max="2" width="1.5546875" style="22" customWidth="1"/>
    <col min="3" max="3" width="23" style="22" bestFit="1" customWidth="1"/>
    <col min="4" max="4" width="1.88671875" style="22" customWidth="1"/>
    <col min="5" max="5" width="31.44140625" style="22" bestFit="1" customWidth="1"/>
    <col min="6" max="6" width="2.6640625" style="22" customWidth="1"/>
    <col min="7" max="7" width="39.88671875" style="22" bestFit="1" customWidth="1"/>
    <col min="8" max="8" width="2" style="22" customWidth="1"/>
    <col min="9" max="9" width="40.77734375" style="22" bestFit="1" customWidth="1"/>
    <col min="10" max="10" width="2.44140625" style="22" customWidth="1"/>
    <col min="11" max="11" width="26.21875" style="22" bestFit="1" customWidth="1"/>
    <col min="12" max="12" width="1.77734375" style="22" customWidth="1"/>
    <col min="13" max="13" width="13.44140625" style="22" bestFit="1" customWidth="1"/>
    <col min="14" max="14" width="2.6640625" style="22" customWidth="1"/>
    <col min="15" max="15" width="29.77734375" style="22" bestFit="1" customWidth="1"/>
    <col min="16" max="16384" width="9.109375" style="22"/>
  </cols>
  <sheetData>
    <row r="1" spans="1:15" ht="12" customHeight="1" x14ac:dyDescent="0.2">
      <c r="A1" s="42" t="str">
        <f>Serviços!$L$1</f>
        <v>Português</v>
      </c>
      <c r="C1" s="13" t="str">
        <f>IF($A$1="Português",C2,IF($A$1="English",C3,IF($A$1="Español",C4,IF($A$1="Français",C5,))))</f>
        <v xml:space="preserve">Até 18 m2: </v>
      </c>
      <c r="D1" s="216"/>
      <c r="E1" s="13" t="str">
        <f>IF($A$1="Português",E2,IF($A$1="English",E3,IF($A$1="Español",E4,IF($A$1="Français",E5,))))</f>
        <v>Paredes em painéis laminados a branco</v>
      </c>
      <c r="F1" s="216"/>
      <c r="G1" s="13" t="str">
        <f>IF($A$1="Português",G2,IF($A$1="English",G3,IF($A$1="Español",G4,IF($A$1="Français",G5,))))</f>
        <v>Lona fixa ao modulo com imagem num só lado</v>
      </c>
      <c r="H1" s="216"/>
      <c r="I1" s="13" t="str">
        <f>IF($A$1="Português",I2,IF($A$1="English",I3,IF($A$1="Español",I4,IF($A$1="Français",I5,))))</f>
        <v>Lettering - nome a figurar no Stand</v>
      </c>
      <c r="K1" s="235" t="str">
        <f>IF($A$1="Português",K2,(IF($A$1="English",K3,(IF($A$1="Español",K4,(IF($A$1="Français",K5,)))))))</f>
        <v xml:space="preserve">Balcão FIL A com portas e fechadura    </v>
      </c>
      <c r="M1" s="235" t="str">
        <f>IF($A$1="Português",M2,(IF($A$1="English",M3,(IF($A$1="Español",M4,(IF($A$1="Français",M5,)))))))</f>
        <v>Armazém com porta</v>
      </c>
      <c r="O1" s="235" t="str">
        <f>IF($A$1="Português",O2,(IF($A$1="English",#REF!,(IF($A$1="Español",O4,(IF($A$1="Français",O5,)))))))</f>
        <v>Mesa redonda  - CHOPSTICK</v>
      </c>
    </row>
    <row r="2" spans="1:15" ht="12" customHeight="1" x14ac:dyDescent="0.2">
      <c r="C2" s="22" t="s">
        <v>515</v>
      </c>
      <c r="E2" s="22" t="s">
        <v>553</v>
      </c>
      <c r="G2" s="213" t="s">
        <v>527</v>
      </c>
      <c r="I2" s="22" t="s">
        <v>1137</v>
      </c>
      <c r="K2" s="2" t="s">
        <v>1168</v>
      </c>
      <c r="M2" s="58" t="s">
        <v>682</v>
      </c>
      <c r="O2" s="2" t="s">
        <v>1176</v>
      </c>
    </row>
    <row r="3" spans="1:15" ht="12" customHeight="1" x14ac:dyDescent="0.2">
      <c r="C3" s="211" t="s">
        <v>516</v>
      </c>
      <c r="D3" s="211"/>
      <c r="E3" s="194" t="s">
        <v>554</v>
      </c>
      <c r="F3" s="194"/>
      <c r="G3" s="194" t="s">
        <v>528</v>
      </c>
      <c r="H3" s="194"/>
      <c r="I3" s="194" t="s">
        <v>1138</v>
      </c>
      <c r="K3" s="2" t="s">
        <v>1169</v>
      </c>
      <c r="M3" s="58" t="s">
        <v>683</v>
      </c>
      <c r="O3" s="22" t="s">
        <v>1177</v>
      </c>
    </row>
    <row r="4" spans="1:15" ht="12" customHeight="1" x14ac:dyDescent="0.2">
      <c r="A4" s="13" t="str">
        <f>IF($A$1="Português",A5,IF($A$1="English",A6,IF($A$1="Español",A7,IF($A$1="Français",A8,))))</f>
        <v>Estrutura:</v>
      </c>
      <c r="C4" s="22" t="s">
        <v>517</v>
      </c>
      <c r="E4" s="217" t="s">
        <v>555</v>
      </c>
      <c r="F4" s="217"/>
      <c r="G4" s="213" t="s">
        <v>529</v>
      </c>
      <c r="H4" s="217"/>
      <c r="I4" s="217" t="s">
        <v>1139</v>
      </c>
      <c r="K4" s="2" t="s">
        <v>1170</v>
      </c>
      <c r="M4" s="58" t="s">
        <v>684</v>
      </c>
      <c r="O4" s="2" t="s">
        <v>1176</v>
      </c>
    </row>
    <row r="5" spans="1:15" ht="12" customHeight="1" x14ac:dyDescent="0.2">
      <c r="A5" s="213" t="s">
        <v>38</v>
      </c>
      <c r="C5" s="22" t="s">
        <v>518</v>
      </c>
      <c r="E5" s="211" t="s">
        <v>556</v>
      </c>
      <c r="F5" s="211"/>
      <c r="G5" s="213" t="s">
        <v>530</v>
      </c>
      <c r="H5" s="211"/>
      <c r="I5" s="217" t="s">
        <v>1140</v>
      </c>
      <c r="K5" s="2" t="s">
        <v>1171</v>
      </c>
      <c r="M5" s="58" t="s">
        <v>685</v>
      </c>
      <c r="O5" s="2" t="s">
        <v>1178</v>
      </c>
    </row>
    <row r="6" spans="1:15" ht="12" customHeight="1" x14ac:dyDescent="0.2">
      <c r="A6" s="211" t="s">
        <v>39</v>
      </c>
      <c r="C6" s="13" t="str">
        <f>IF($A$1="Português",C7,IF($A$1="English",C8,IF($A$1="Español",C9,IF($A$1="Français",C10,))))</f>
        <v>Mesa(s)</v>
      </c>
      <c r="D6" s="216"/>
      <c r="E6" s="13" t="str">
        <f>IF($A$1="Português",E7,IF($A$1="English",E8,IF($A$1="Español",E9,IF($A$1="Français",E10,))))</f>
        <v>Paredes em Paletes</v>
      </c>
      <c r="F6" s="216"/>
      <c r="G6" s="13" t="str">
        <f>IF($A$1="Português",G7,IF($A$1="English",G8,IF($A$1="Español",G9,IF($A$1="Français",G10,))))</f>
        <v>Lonas fixas ao módulo superior com imagem num só lado</v>
      </c>
      <c r="H6" s="216"/>
      <c r="I6" s="235" t="str">
        <f>IF($A$1="Português",I7,(IF($A$1="English",I8,(IF($A$1="Español",I9,(IF($A$1="Français",I10,)))))))</f>
        <v>Placa de identificação para mesa com imagem frente e verso</v>
      </c>
      <c r="K6" s="235" t="str">
        <f>IF($A$1="Português",K7,(IF($A$1="English",K8,(IF($A$1="Español",K9,(IF($A$1="Français",K10,)))))))</f>
        <v xml:space="preserve">Balcão FIL B com portas e fechadura    </v>
      </c>
      <c r="M6" s="13" t="str">
        <f>IF($A$1="Português",M7,IF($A$1="English",M8,IF($A$1="Español",M9,IF($A$1="Français",M10,))))</f>
        <v>Porta e Moldura</v>
      </c>
    </row>
    <row r="7" spans="1:15" ht="12" customHeight="1" x14ac:dyDescent="0.2">
      <c r="A7" s="213" t="s">
        <v>40</v>
      </c>
      <c r="C7" s="213" t="s">
        <v>1157</v>
      </c>
      <c r="D7" s="213"/>
      <c r="E7" s="22" t="s">
        <v>769</v>
      </c>
      <c r="F7" s="213"/>
      <c r="G7" s="22" t="s">
        <v>539</v>
      </c>
      <c r="H7" s="213"/>
      <c r="I7" s="213" t="s">
        <v>754</v>
      </c>
      <c r="K7" s="2" t="s">
        <v>746</v>
      </c>
      <c r="M7" s="22" t="s">
        <v>777</v>
      </c>
    </row>
    <row r="8" spans="1:15" ht="12" customHeight="1" x14ac:dyDescent="0.2">
      <c r="A8" s="211" t="s">
        <v>39</v>
      </c>
      <c r="B8" s="211"/>
      <c r="C8" s="211" t="s">
        <v>1158</v>
      </c>
      <c r="D8" s="211"/>
      <c r="E8" s="194" t="s">
        <v>770</v>
      </c>
      <c r="F8" s="211"/>
      <c r="G8" s="194" t="s">
        <v>528</v>
      </c>
      <c r="H8" s="211"/>
      <c r="I8" s="211" t="s">
        <v>755</v>
      </c>
      <c r="K8" s="2" t="s">
        <v>747</v>
      </c>
      <c r="M8" s="22" t="s">
        <v>778</v>
      </c>
    </row>
    <row r="9" spans="1:15" ht="12" customHeight="1" x14ac:dyDescent="0.2">
      <c r="A9" s="13" t="str">
        <f>IF($A$1="Português",A10,IF($A$1="English",A11,IF($A$1="Español",A12,IF($A$1="Français",A13,))))</f>
        <v>Pavimento:</v>
      </c>
      <c r="C9" s="213" t="s">
        <v>1157</v>
      </c>
      <c r="D9" s="213"/>
      <c r="E9" s="217" t="s">
        <v>771</v>
      </c>
      <c r="F9" s="194"/>
      <c r="G9" s="22" t="s">
        <v>634</v>
      </c>
      <c r="H9" s="194"/>
      <c r="I9" s="213" t="s">
        <v>756</v>
      </c>
      <c r="K9" s="2" t="s">
        <v>748</v>
      </c>
      <c r="M9" s="22" t="s">
        <v>779</v>
      </c>
    </row>
    <row r="10" spans="1:15" ht="12" customHeight="1" x14ac:dyDescent="0.2">
      <c r="A10" s="211" t="s">
        <v>41</v>
      </c>
      <c r="C10" s="213" t="s">
        <v>1158</v>
      </c>
      <c r="D10" s="213"/>
      <c r="E10" s="211" t="s">
        <v>772</v>
      </c>
      <c r="F10" s="194"/>
      <c r="G10" s="22" t="s">
        <v>543</v>
      </c>
      <c r="H10" s="194"/>
      <c r="I10" s="213" t="s">
        <v>757</v>
      </c>
      <c r="K10" s="2" t="s">
        <v>749</v>
      </c>
      <c r="M10" s="22" t="s">
        <v>780</v>
      </c>
    </row>
    <row r="11" spans="1:15" ht="12" customHeight="1" x14ac:dyDescent="0.2">
      <c r="A11" s="211" t="s">
        <v>42</v>
      </c>
      <c r="B11" s="212"/>
      <c r="C11" s="13" t="str">
        <f>IF($A$1="Português",C12,IF($A$1="English",C13,IF($A$1="Español",C14,IF($A$1="Français",C15,))))</f>
        <v>Cadeiras</v>
      </c>
      <c r="D11" s="216"/>
      <c r="E11" s="13" t="str">
        <f>IF($A$1="Português",E12,IF($A$1="English",E13,IF($A$1="Español",E14,IF($A$1="Français",E15,))))</f>
        <v>Estrutura cubo em aglomerado de madeira</v>
      </c>
      <c r="F11" s="216"/>
      <c r="G11" s="13" t="str">
        <f>IF($A$1="Português",G12,IF($A$1="English",G13,IF($A$1="Español",G14,IF($A$1="Français",G15,))))</f>
        <v>Fotografia (parede de fundo junto ao gabinete)</v>
      </c>
      <c r="H11" s="216"/>
      <c r="I11" s="13" t="str">
        <f>IF($A$1="Português",I12,IF($A$1="English",I13,IF($A$1="Español",I14,IF($A$1="Français",I15,))))</f>
        <v xml:space="preserve">Placa com identificação do expositor </v>
      </c>
      <c r="K11" s="235" t="str">
        <f>IF($A$1="Português",K12,(IF($A$1="English",K13,(IF($A$1="Español",K14,(IF($A$1="Français",K15,)))))))</f>
        <v>Balcão FIL C com prateleira</v>
      </c>
      <c r="M11" s="13" t="str">
        <f>IF($A$1="Português",M12,IF($A$1="English",M13,IF($A$1="Español",M14,IF($A$1="Français",M15,))))</f>
        <v>Prateleira</v>
      </c>
    </row>
    <row r="12" spans="1:15" ht="12" customHeight="1" x14ac:dyDescent="0.2">
      <c r="A12" s="211" t="s">
        <v>41</v>
      </c>
      <c r="C12" s="213" t="s">
        <v>523</v>
      </c>
      <c r="D12" s="213"/>
      <c r="E12" s="218" t="s">
        <v>374</v>
      </c>
      <c r="G12" s="213" t="s">
        <v>532</v>
      </c>
      <c r="I12" s="22" t="s">
        <v>781</v>
      </c>
      <c r="K12" s="2" t="s">
        <v>762</v>
      </c>
      <c r="M12" s="22" t="s">
        <v>1172</v>
      </c>
    </row>
    <row r="13" spans="1:15" ht="12" customHeight="1" x14ac:dyDescent="0.2">
      <c r="A13" s="22" t="s">
        <v>43</v>
      </c>
      <c r="B13" s="212"/>
      <c r="C13" s="211" t="s">
        <v>524</v>
      </c>
      <c r="D13" s="211"/>
      <c r="E13" s="211" t="s">
        <v>375</v>
      </c>
      <c r="F13" s="211"/>
      <c r="G13" s="211" t="s">
        <v>534</v>
      </c>
      <c r="H13" s="211"/>
      <c r="I13" s="22" t="s">
        <v>782</v>
      </c>
      <c r="K13" s="2" t="s">
        <v>763</v>
      </c>
      <c r="M13" s="22" t="s">
        <v>1173</v>
      </c>
    </row>
    <row r="14" spans="1:15" ht="12" customHeight="1" x14ac:dyDescent="0.2">
      <c r="A14" s="13" t="str">
        <f>IF($A$1="Português",A15,IF($A$1="English",A16,IF($A$1="Español",A17,IF($A$1="Français",A18,))))</f>
        <v>Electricidade:</v>
      </c>
      <c r="B14" s="212"/>
      <c r="C14" s="213" t="s">
        <v>525</v>
      </c>
      <c r="D14" s="213"/>
      <c r="E14" s="213" t="s">
        <v>376</v>
      </c>
      <c r="F14" s="211"/>
      <c r="G14" s="213" t="s">
        <v>536</v>
      </c>
      <c r="H14" s="211"/>
      <c r="I14" s="22" t="s">
        <v>783</v>
      </c>
      <c r="K14" s="2" t="s">
        <v>764</v>
      </c>
      <c r="M14" s="22" t="s">
        <v>1174</v>
      </c>
    </row>
    <row r="15" spans="1:15" ht="12" customHeight="1" x14ac:dyDescent="0.2">
      <c r="A15" s="213" t="s">
        <v>44</v>
      </c>
      <c r="B15" s="212"/>
      <c r="C15" s="213" t="s">
        <v>526</v>
      </c>
      <c r="D15" s="213"/>
      <c r="E15" s="211" t="s">
        <v>377</v>
      </c>
      <c r="F15" s="211"/>
      <c r="G15" s="213" t="s">
        <v>538</v>
      </c>
      <c r="H15" s="211"/>
      <c r="I15" s="22" t="s">
        <v>784</v>
      </c>
      <c r="K15" s="2" t="s">
        <v>765</v>
      </c>
      <c r="M15" s="22" t="s">
        <v>1175</v>
      </c>
    </row>
    <row r="16" spans="1:15" ht="12" customHeight="1" x14ac:dyDescent="0.2">
      <c r="A16" s="194" t="s">
        <v>46</v>
      </c>
      <c r="C16" s="13" t="str">
        <f>IF($A$1="Português",C17,IF($A$1="English",C18,IF($A$1="Español",C19,IF($A$1="Français",C20,))))</f>
        <v>Mais de 36 m2:  a analisar</v>
      </c>
      <c r="D16" s="216"/>
      <c r="E16" s="235" t="str">
        <f>IF($A$1="Português",E17,(IF($A$1="English",E18,(IF($A$1="Español",E19,(IF($A$1="Français",E20,)))))))</f>
        <v>Estrutura de alumínio para parede</v>
      </c>
      <c r="F16" s="216"/>
      <c r="G16" s="235" t="str">
        <f>IF($A$1="Português",G17,(IF($A$1="English",G18,(IF($A$1="Español",G19,(IF($A$1="Français",G20,)))))))</f>
        <v>Fotografia em vinil para paredes laterais</v>
      </c>
      <c r="H16" s="216"/>
      <c r="I16" s="235" t="str">
        <f>IF($A$1="Português",I17,(IF($A$1="English",I18,(IF($A$1="Español",I19,(IF($A$1="Français",I20,)))))))</f>
        <v>Grafismo parede de fundo</v>
      </c>
      <c r="K16" s="13" t="str">
        <f>IF($A$1="Português",K17,IF($A$1="English",K18,IF($A$1="Español",K19,IF($A$1="Français",K20,))))</f>
        <v xml:space="preserve">Balcão FIL D  </v>
      </c>
    </row>
    <row r="17" spans="1:11" ht="12" customHeight="1" x14ac:dyDescent="0.2">
      <c r="A17" s="194" t="s">
        <v>48</v>
      </c>
      <c r="C17" s="22" t="s">
        <v>59</v>
      </c>
      <c r="E17" s="22" t="s">
        <v>734</v>
      </c>
      <c r="F17" s="213"/>
      <c r="G17" s="22" t="s">
        <v>624</v>
      </c>
      <c r="H17" s="213"/>
      <c r="I17" s="213" t="s">
        <v>750</v>
      </c>
      <c r="K17" s="2" t="s">
        <v>773</v>
      </c>
    </row>
    <row r="18" spans="1:11" ht="12" customHeight="1" x14ac:dyDescent="0.2">
      <c r="A18" s="22" t="s">
        <v>50</v>
      </c>
      <c r="C18" s="22" t="s">
        <v>491</v>
      </c>
      <c r="E18" s="22" t="s">
        <v>735</v>
      </c>
      <c r="F18" s="194"/>
      <c r="G18" s="194" t="s">
        <v>625</v>
      </c>
      <c r="H18" s="194"/>
      <c r="I18" s="194" t="s">
        <v>751</v>
      </c>
      <c r="K18" s="2" t="s">
        <v>774</v>
      </c>
    </row>
    <row r="19" spans="1:11" ht="12" customHeight="1" x14ac:dyDescent="0.2">
      <c r="A19" s="13" t="str">
        <f>IF($A$1="Português",A20,IF($A$1="English",A21,IF($A$1="Español",A22,IF($A$1="Français",A23,))))</f>
        <v>Mobiliário:</v>
      </c>
      <c r="C19" s="22" t="s">
        <v>61</v>
      </c>
      <c r="E19" s="22" t="s">
        <v>736</v>
      </c>
      <c r="F19" s="213"/>
      <c r="G19" s="22" t="s">
        <v>626</v>
      </c>
      <c r="H19" s="213"/>
      <c r="I19" s="213" t="s">
        <v>752</v>
      </c>
      <c r="K19" s="2" t="s">
        <v>775</v>
      </c>
    </row>
    <row r="20" spans="1:11" ht="12" customHeight="1" x14ac:dyDescent="0.2">
      <c r="A20" s="213" t="s">
        <v>52</v>
      </c>
      <c r="C20" s="211" t="s">
        <v>62</v>
      </c>
      <c r="D20" s="211"/>
      <c r="E20" s="22" t="s">
        <v>737</v>
      </c>
      <c r="F20" s="213"/>
      <c r="G20" s="22" t="s">
        <v>627</v>
      </c>
      <c r="H20" s="213"/>
      <c r="I20" s="194" t="s">
        <v>753</v>
      </c>
      <c r="K20" s="2" t="s">
        <v>776</v>
      </c>
    </row>
    <row r="21" spans="1:11" ht="12" customHeight="1" x14ac:dyDescent="0.2">
      <c r="A21" s="194" t="s">
        <v>53</v>
      </c>
      <c r="C21" s="13" t="str">
        <f>IF($A$1="Português",C22,IF($A$1="English",C23,IF($A$1="Español",C24,IF($A$1="Français",C25,))))</f>
        <v>Régua de Projectores por cada 9 m2</v>
      </c>
      <c r="D21" s="216"/>
      <c r="E21" s="235" t="str">
        <f>IF($A$1="Português",E22,(IF($A$1="English",E23,(IF($A$1="Español",E24,(IF($A$1="Français",E25,)))))))</f>
        <v>Perfil em alumínio acetinado</v>
      </c>
      <c r="F21" s="216"/>
      <c r="G21" s="13" t="str">
        <f>IF($A$1="Português",G22,IF($A$1="English",G23,IF($A$1="Español",G24,IF($A$1="Français",G25,))))</f>
        <v>Fotografia em vinil para gabinete</v>
      </c>
      <c r="H21" s="216"/>
      <c r="I21" s="13" t="str">
        <f>IF($A$1="Português",I22,(IF($A$1="English",I23,(IF($A$1="Español",I24,(IF($A$1="Français",I25,)))))))</f>
        <v>Grafismo em vinil para Balcão</v>
      </c>
      <c r="K21" s="284" t="str">
        <f>IF($A$1="Português",K22,(IF($A$1="English",K23,(IF($A$1="Español",K24,(IF($A$1="Français",K25,)))))))</f>
        <v>Banco alto branco CONCHA</v>
      </c>
    </row>
    <row r="22" spans="1:11" ht="12" customHeight="1" x14ac:dyDescent="0.2">
      <c r="A22" s="194" t="s">
        <v>52</v>
      </c>
      <c r="C22" s="215" t="s">
        <v>531</v>
      </c>
      <c r="D22" s="215"/>
      <c r="E22" s="22" t="s">
        <v>1119</v>
      </c>
      <c r="F22" s="213"/>
      <c r="G22" s="22" t="s">
        <v>616</v>
      </c>
      <c r="H22" s="213"/>
      <c r="I22" s="213" t="s">
        <v>758</v>
      </c>
      <c r="K22" s="1" t="s">
        <v>604</v>
      </c>
    </row>
    <row r="23" spans="1:11" ht="12" customHeight="1" x14ac:dyDescent="0.2">
      <c r="A23" s="22" t="s">
        <v>54</v>
      </c>
      <c r="C23" s="74" t="s">
        <v>533</v>
      </c>
      <c r="D23" s="74"/>
      <c r="E23" s="194" t="s">
        <v>1120</v>
      </c>
      <c r="F23" s="211"/>
      <c r="G23" s="194" t="s">
        <v>617</v>
      </c>
      <c r="H23" s="211"/>
      <c r="I23" s="194" t="s">
        <v>759</v>
      </c>
      <c r="J23" s="213"/>
      <c r="K23" s="1" t="s">
        <v>605</v>
      </c>
    </row>
    <row r="24" spans="1:11" ht="12" customHeight="1" x14ac:dyDescent="0.2">
      <c r="A24" s="13" t="str">
        <f>IF($A$1="Português",A25,IF($A$1="English",A26,IF($A$1="Español",A27,IF($A$1="Français",A28,))))</f>
        <v>Grafismo:</v>
      </c>
      <c r="C24" s="23" t="s">
        <v>535</v>
      </c>
      <c r="D24" s="23"/>
      <c r="E24" s="217" t="s">
        <v>1121</v>
      </c>
      <c r="F24" s="213"/>
      <c r="G24" s="22" t="s">
        <v>618</v>
      </c>
      <c r="H24" s="213"/>
      <c r="I24" s="213" t="s">
        <v>760</v>
      </c>
      <c r="K24" s="1" t="s">
        <v>606</v>
      </c>
    </row>
    <row r="25" spans="1:11" ht="12" customHeight="1" x14ac:dyDescent="0.2">
      <c r="A25" s="213" t="s">
        <v>55</v>
      </c>
      <c r="C25" s="22" t="s">
        <v>537</v>
      </c>
      <c r="E25" s="211" t="s">
        <v>1122</v>
      </c>
      <c r="F25" s="213"/>
      <c r="G25" s="22" t="s">
        <v>619</v>
      </c>
      <c r="H25" s="213"/>
      <c r="I25" s="194" t="s">
        <v>761</v>
      </c>
      <c r="K25" s="2" t="s">
        <v>607</v>
      </c>
    </row>
    <row r="26" spans="1:11" ht="12" customHeight="1" x14ac:dyDescent="0.2">
      <c r="A26" s="194" t="s">
        <v>56</v>
      </c>
      <c r="C26" s="13" t="str">
        <f>IF($A$1="Português",C27,IF($A$1="English",C28,IF($A$1="Español",C29,IF($A$1="Français",C30,))))</f>
        <v>Régua de Projectores</v>
      </c>
      <c r="D26" s="216"/>
      <c r="E26" s="13" t="str">
        <f>IF($A$1="Português",E27,IF($A$1="English",E28,IF($A$1="Español",E29,IF($A$1="Français",E30,))))</f>
        <v>Quadro Eléctrico Monofásico com Tomada Tripla</v>
      </c>
      <c r="F26" s="216"/>
      <c r="G26" s="235" t="str">
        <f>IF($A$1="Português",G27,(IF($A$1="English",G28,(IF($A$1="Español",G29,(IF($A$1="Français",G30,)))))))</f>
        <v>Fotografia em vinil para costas do gabinete e paredes</v>
      </c>
      <c r="H26" s="216"/>
      <c r="I26" s="13" t="str">
        <f>IF($A$1="Português",I27,IF($A$1="English",I28,IF($A$1="Español",I29,IF($A$1="Français",I30,))))</f>
        <v>Gabinete com porta em MDF pintado a branco</v>
      </c>
      <c r="K26" s="329" t="str">
        <f>IF($A$1="Português",K27,(IF($A$1="English",K28,(IF($A$1="Español",K29,(IF($A$1="Français",K30,)))))))</f>
        <v>Sofá MALIBU  - 1 pax</v>
      </c>
    </row>
    <row r="27" spans="1:11" ht="12" customHeight="1" x14ac:dyDescent="0.2">
      <c r="A27" s="213" t="s">
        <v>55</v>
      </c>
      <c r="C27" s="215" t="s">
        <v>1114</v>
      </c>
      <c r="D27" s="213"/>
      <c r="E27" s="213" t="s">
        <v>620</v>
      </c>
      <c r="F27" s="213"/>
      <c r="G27" s="22" t="s">
        <v>612</v>
      </c>
      <c r="H27" s="213"/>
      <c r="I27" s="213" t="s">
        <v>519</v>
      </c>
      <c r="J27" s="213"/>
      <c r="K27" s="1" t="s">
        <v>785</v>
      </c>
    </row>
    <row r="28" spans="1:11" ht="12" customHeight="1" x14ac:dyDescent="0.2">
      <c r="A28" s="194" t="s">
        <v>56</v>
      </c>
      <c r="C28" s="74" t="s">
        <v>1115</v>
      </c>
      <c r="D28" s="214"/>
      <c r="E28" s="194" t="s">
        <v>621</v>
      </c>
      <c r="F28" s="194"/>
      <c r="G28" s="194" t="s">
        <v>613</v>
      </c>
      <c r="H28" s="194"/>
      <c r="I28" s="211" t="s">
        <v>520</v>
      </c>
      <c r="K28" s="1" t="s">
        <v>786</v>
      </c>
    </row>
    <row r="29" spans="1:11" ht="12" customHeight="1" x14ac:dyDescent="0.2">
      <c r="A29" s="13" t="str">
        <f>IF($A$1="Português",A30,IF($A$1="English",A31,IF($A$1="Español",A32,IF($A$1="Français",A33,))))</f>
        <v>Alcatifa cor Cinza</v>
      </c>
      <c r="C29" s="23" t="s">
        <v>1116</v>
      </c>
      <c r="D29" s="213"/>
      <c r="E29" s="213" t="s">
        <v>622</v>
      </c>
      <c r="G29" s="22" t="s">
        <v>614</v>
      </c>
      <c r="I29" s="194" t="s">
        <v>521</v>
      </c>
      <c r="J29" s="213"/>
      <c r="K29" s="1" t="s">
        <v>787</v>
      </c>
    </row>
    <row r="30" spans="1:11" ht="12" customHeight="1" x14ac:dyDescent="0.2">
      <c r="A30" s="22" t="s">
        <v>170</v>
      </c>
      <c r="C30" s="22" t="s">
        <v>1117</v>
      </c>
      <c r="D30" s="213"/>
      <c r="E30" s="213" t="s">
        <v>623</v>
      </c>
      <c r="G30" s="22" t="s">
        <v>615</v>
      </c>
      <c r="I30" s="194" t="s">
        <v>522</v>
      </c>
      <c r="K30" s="1" t="s">
        <v>788</v>
      </c>
    </row>
    <row r="31" spans="1:11" ht="12" customHeight="1" x14ac:dyDescent="0.2">
      <c r="A31" s="217" t="s">
        <v>171</v>
      </c>
      <c r="C31" s="13" t="str">
        <f>IF($A$1="Português",C32,IF($A$1="English",C33,IF($A$1="Español",C34,IF($A$1="Français",C35,))))</f>
        <v>Projectores de Led</v>
      </c>
      <c r="E31" s="235" t="str">
        <f>IF($A$1="Português",E32,(IF($A$1="English",E33,(IF($A$1="Español",E34,(IF($A$1="Français",E35,)))))))</f>
        <v>Tomada Tripla</v>
      </c>
      <c r="F31" s="216"/>
      <c r="G31" s="13" t="str">
        <f>IF($A$1="Português",G32,IF($A$1="English",G33,IF($A$1="Español",G34,IF($A$1="Français",G35,))))</f>
        <v>Estrado 0,10m Alcatifado</v>
      </c>
      <c r="H31" s="216"/>
      <c r="I31" s="235" t="str">
        <f>IF($A$1="Português",I32,(IF($A$1="English",I33,(IF($A$1="Español",I34,(IF($A$1="Français",I35,)))))))</f>
        <v>Porta com chave para acesso à zona de arrumos</v>
      </c>
      <c r="K31" s="329" t="str">
        <f>IF($A$1="Português",K32,(IF($A$1="English",K33,(IF($A$1="Español",K34,(IF($A$1="Français",K35,)))))))</f>
        <v>Sofá MALIBU - 2 pax</v>
      </c>
    </row>
    <row r="32" spans="1:11" ht="12" customHeight="1" x14ac:dyDescent="0.2">
      <c r="A32" s="217" t="s">
        <v>172</v>
      </c>
      <c r="C32" s="213" t="s">
        <v>608</v>
      </c>
      <c r="E32" s="2" t="s">
        <v>742</v>
      </c>
      <c r="G32" s="22" t="s">
        <v>545</v>
      </c>
      <c r="I32" s="22" t="s">
        <v>738</v>
      </c>
      <c r="K32" s="1" t="s">
        <v>789</v>
      </c>
    </row>
    <row r="33" spans="1:11" ht="12" customHeight="1" x14ac:dyDescent="0.2">
      <c r="A33" s="211" t="s">
        <v>173</v>
      </c>
      <c r="C33" s="194" t="s">
        <v>609</v>
      </c>
      <c r="E33" s="2" t="s">
        <v>743</v>
      </c>
      <c r="F33" s="194"/>
      <c r="G33" s="211" t="s">
        <v>547</v>
      </c>
      <c r="H33" s="194"/>
      <c r="I33" s="22" t="s">
        <v>739</v>
      </c>
      <c r="K33" s="1" t="s">
        <v>790</v>
      </c>
    </row>
    <row r="34" spans="1:11" ht="12" customHeight="1" x14ac:dyDescent="0.2">
      <c r="A34" s="13" t="str">
        <f>IF($A$1="Português",A35,IF($A$1="English",A36,IF($A$1="Español",A37,IF($A$1="Français",A38,))))</f>
        <v>unid.</v>
      </c>
      <c r="C34" s="213" t="s">
        <v>610</v>
      </c>
      <c r="E34" s="2" t="s">
        <v>744</v>
      </c>
      <c r="G34" s="211" t="s">
        <v>549</v>
      </c>
      <c r="I34" s="22" t="s">
        <v>740</v>
      </c>
      <c r="K34" s="1" t="s">
        <v>791</v>
      </c>
    </row>
    <row r="35" spans="1:11" ht="12" customHeight="1" x14ac:dyDescent="0.2">
      <c r="A35" s="23" t="s">
        <v>21</v>
      </c>
      <c r="C35" s="213" t="s">
        <v>611</v>
      </c>
      <c r="E35" s="2" t="s">
        <v>745</v>
      </c>
      <c r="G35" s="211" t="s">
        <v>551</v>
      </c>
      <c r="I35" s="22" t="s">
        <v>741</v>
      </c>
      <c r="K35" s="1" t="s">
        <v>790</v>
      </c>
    </row>
    <row r="36" spans="1:11" ht="12" customHeight="1" x14ac:dyDescent="0.2">
      <c r="A36" s="74" t="s">
        <v>22</v>
      </c>
      <c r="C36" s="13" t="str">
        <f>IF($A$1="Português",C37,IF($A$1="English",C38,IF($A$1="Español",C39,IF($A$1="Français",C40,))))</f>
        <v>INCLUI</v>
      </c>
      <c r="E36" s="13" t="str">
        <f>IF($A$1="Português",E37,IF($A$1="English",E38,IF($A$1="Español",E39,IF($A$1="Français",E40,))))</f>
        <v>(Aplicável em espaços com  1 / 2 / 3 frentes)</v>
      </c>
      <c r="F36" s="216"/>
      <c r="G36" s="13" t="str">
        <f>IF($A$1="Português",G37,IF($A$1="English",G38,IF($A$1="Español",G39,IF($A$1="Français",G40,))))</f>
        <v>Caixa de Luz</v>
      </c>
      <c r="H36" s="216"/>
      <c r="I36" s="235" t="str">
        <f>IF($A$1="Português",I37,(IF($A$1="English",I38,(IF($A$1="Español",I39,(IF($A$1="Français",I40,)))))))</f>
        <v>Tela backlight com Imagem</v>
      </c>
      <c r="K36" s="329" t="str">
        <f>IF($A$1="Português",K37,(IF($A$1="English",K38,(IF($A$1="Español",K39,(IF($A$1="Français",K40,)))))))</f>
        <v>Mesa de apoio VADUZ</v>
      </c>
    </row>
    <row r="37" spans="1:11" ht="12" customHeight="1" x14ac:dyDescent="0.2">
      <c r="A37" s="23" t="s">
        <v>21</v>
      </c>
      <c r="C37" s="2" t="s">
        <v>227</v>
      </c>
      <c r="E37" s="22" t="s">
        <v>803</v>
      </c>
      <c r="G37" s="22" t="s">
        <v>984</v>
      </c>
      <c r="I37" s="22" t="s">
        <v>1019</v>
      </c>
      <c r="K37" s="51" t="s">
        <v>792</v>
      </c>
    </row>
    <row r="38" spans="1:11" ht="12" customHeight="1" x14ac:dyDescent="0.2">
      <c r="A38" s="23" t="s">
        <v>732</v>
      </c>
      <c r="C38" s="2" t="s">
        <v>228</v>
      </c>
      <c r="E38" s="22" t="s">
        <v>804</v>
      </c>
      <c r="F38" s="194"/>
      <c r="G38" s="22" t="s">
        <v>985</v>
      </c>
      <c r="H38" s="194"/>
      <c r="I38" s="22" t="s">
        <v>1020</v>
      </c>
      <c r="K38" s="51" t="s">
        <v>793</v>
      </c>
    </row>
    <row r="39" spans="1:11" ht="12" customHeight="1" x14ac:dyDescent="0.2">
      <c r="A39" s="13" t="str">
        <f>IF($A$1="Português",A40,IF($A$1="English",A41,IF($A$1="Español",A42,IF($A$1="Français",A43,))))</f>
        <v>altura)</v>
      </c>
      <c r="C39" s="2" t="s">
        <v>229</v>
      </c>
      <c r="E39" s="22" t="s">
        <v>805</v>
      </c>
      <c r="F39" s="217"/>
      <c r="G39" s="22" t="s">
        <v>986</v>
      </c>
      <c r="H39" s="217"/>
      <c r="I39" s="22" t="s">
        <v>1021</v>
      </c>
      <c r="K39" s="1" t="s">
        <v>794</v>
      </c>
    </row>
    <row r="40" spans="1:11" ht="12" customHeight="1" x14ac:dyDescent="0.2">
      <c r="A40" s="22" t="s">
        <v>540</v>
      </c>
      <c r="C40" s="15" t="s">
        <v>230</v>
      </c>
      <c r="E40" s="22" t="s">
        <v>806</v>
      </c>
      <c r="F40" s="217"/>
      <c r="G40" s="22" t="s">
        <v>994</v>
      </c>
      <c r="H40" s="217"/>
      <c r="I40" s="22" t="s">
        <v>1022</v>
      </c>
      <c r="K40" s="1" t="s">
        <v>795</v>
      </c>
    </row>
    <row r="41" spans="1:11" ht="12" customHeight="1" x14ac:dyDescent="0.2">
      <c r="A41" s="194" t="s">
        <v>541</v>
      </c>
      <c r="C41" s="13" t="str">
        <f>IF($A$1="Português",C42,IF($A$1="English",C43,IF($A$1="Español",C44,IF($A$1="Français",C45,))))</f>
        <v>Limpeza</v>
      </c>
      <c r="E41" s="13" t="str">
        <f>IF($A$1="Português",E42,IF($A$1="English",E43,IF($A$1="Español",E44,IF($A$1="Français",E45,))))</f>
        <v>(Aplicável em espaços com  2 / 3 frentes)</v>
      </c>
      <c r="F41" s="216"/>
      <c r="G41" s="13" t="str">
        <f>IF($A$1="Português",G42,IF($A$1="English",G43,IF($A$1="Español",G44,IF($A$1="Français",G45,))))</f>
        <v xml:space="preserve">Balcão FIL B  </v>
      </c>
      <c r="H41" s="216"/>
      <c r="I41" s="235" t="str">
        <f>IF($A$1="Português",I42,(IF($A$1="English",I43,(IF($A$1="Español",I44,(IF($A$1="Français",I45,)))))))</f>
        <v>Porta com chave para acesso à zona de arrumos</v>
      </c>
    </row>
    <row r="42" spans="1:11" ht="12" customHeight="1" x14ac:dyDescent="0.2">
      <c r="A42" s="217" t="s">
        <v>542</v>
      </c>
      <c r="C42" s="22" t="s">
        <v>85</v>
      </c>
      <c r="E42" s="22" t="s">
        <v>807</v>
      </c>
      <c r="G42" s="2" t="s">
        <v>990</v>
      </c>
      <c r="I42" s="22" t="s">
        <v>738</v>
      </c>
    </row>
    <row r="43" spans="1:11" ht="12" customHeight="1" x14ac:dyDescent="0.2">
      <c r="A43" s="217" t="s">
        <v>544</v>
      </c>
      <c r="C43" s="22" t="s">
        <v>557</v>
      </c>
      <c r="E43" s="22" t="s">
        <v>808</v>
      </c>
      <c r="F43" s="194"/>
      <c r="G43" s="2" t="s">
        <v>991</v>
      </c>
      <c r="H43" s="194"/>
      <c r="I43" s="22" t="s">
        <v>739</v>
      </c>
    </row>
    <row r="44" spans="1:11" ht="12" customHeight="1" x14ac:dyDescent="0.2">
      <c r="A44" s="13" t="str">
        <f>IF($A$1="Português",A45,IF($A$1="English",A46,IF($A$1="Español",A47,IF($A$1="Français",A48,))))</f>
        <v>comprimento)</v>
      </c>
      <c r="C44" s="22" t="s">
        <v>558</v>
      </c>
      <c r="E44" s="22" t="s">
        <v>809</v>
      </c>
      <c r="G44" s="2" t="s">
        <v>992</v>
      </c>
      <c r="I44" s="22" t="s">
        <v>740</v>
      </c>
    </row>
    <row r="45" spans="1:11" ht="12" customHeight="1" x14ac:dyDescent="0.2">
      <c r="A45" s="213" t="s">
        <v>546</v>
      </c>
      <c r="C45" s="22" t="s">
        <v>559</v>
      </c>
      <c r="E45" s="22" t="s">
        <v>810</v>
      </c>
      <c r="G45" s="2" t="s">
        <v>993</v>
      </c>
      <c r="I45" s="22" t="s">
        <v>741</v>
      </c>
    </row>
    <row r="46" spans="1:11" ht="12" customHeight="1" x14ac:dyDescent="0.2">
      <c r="A46" s="22" t="s">
        <v>548</v>
      </c>
      <c r="C46" s="13" t="str">
        <f>IF($A$1="Português",C47,IF($A$1="English",C48,IF($A$1="Español",C49,IF($A$1="Français",C50,))))</f>
        <v>/ unid.</v>
      </c>
      <c r="E46" s="13" t="str">
        <f>IF($A$1="Português",E47,IF($A$1="English",E48,IF($A$1="Español",E49,IF($A$1="Français",E50,))))</f>
        <v>(Aplicável em espaços com 4 frentes)</v>
      </c>
      <c r="G46" s="13" t="str">
        <f>IF($A$1="Português",G47,IF($A$1="English",G48,IF($A$1="Español",G49,IF($A$1="Français",G50,))))</f>
        <v>Imagens para parte superior da torre</v>
      </c>
      <c r="I46" s="235" t="str">
        <f>IF($A$1="Português",I47,(IF($A$1="English",I48,(IF($A$1="Español",I49,(IF($A$1="Français",I50,)))))))</f>
        <v>ATENÇÃO as medidas são: Largura x Altura</v>
      </c>
    </row>
    <row r="47" spans="1:11" ht="12" customHeight="1" x14ac:dyDescent="0.2">
      <c r="A47" s="213" t="s">
        <v>550</v>
      </c>
      <c r="C47" s="8" t="s">
        <v>987</v>
      </c>
      <c r="E47" s="22" t="s">
        <v>697</v>
      </c>
      <c r="G47" s="434" t="s">
        <v>1123</v>
      </c>
      <c r="I47" s="22" t="s">
        <v>1147</v>
      </c>
    </row>
    <row r="48" spans="1:11" ht="12" customHeight="1" x14ac:dyDescent="0.2">
      <c r="A48" s="22" t="s">
        <v>552</v>
      </c>
      <c r="C48" s="8" t="s">
        <v>988</v>
      </c>
      <c r="E48" s="22" t="s">
        <v>698</v>
      </c>
      <c r="G48" s="22" t="s">
        <v>1124</v>
      </c>
      <c r="I48" s="22" t="s">
        <v>1148</v>
      </c>
    </row>
    <row r="49" spans="3:9" ht="12" customHeight="1" x14ac:dyDescent="0.2">
      <c r="C49" s="8" t="s">
        <v>987</v>
      </c>
      <c r="E49" s="22" t="s">
        <v>699</v>
      </c>
      <c r="G49" s="22" t="s">
        <v>1125</v>
      </c>
      <c r="I49" s="22" t="s">
        <v>1149</v>
      </c>
    </row>
    <row r="50" spans="3:9" ht="12" customHeight="1" x14ac:dyDescent="0.2">
      <c r="C50" s="8" t="s">
        <v>989</v>
      </c>
      <c r="E50" s="22" t="s">
        <v>700</v>
      </c>
      <c r="G50" s="22" t="s">
        <v>1126</v>
      </c>
      <c r="I50" s="22" t="s">
        <v>1150</v>
      </c>
    </row>
    <row r="51" spans="3:9" ht="12" customHeight="1" x14ac:dyDescent="0.2">
      <c r="C51" s="235" t="str">
        <f>IF($A$1="Português",C52,(IF($A$1="English",C53,(IF($A$1="Español",C54,(IF($A$1="Français",C55,)))))))</f>
        <v>(partilhado)</v>
      </c>
      <c r="E51" s="13" t="str">
        <f>IF($A$1="Português",E52,IF($A$1="English",E53,IF($A$1="Español",E54,IF($A$1="Français",E55,))))</f>
        <v>(Aplicável em espaços com 3 frentes)</v>
      </c>
      <c r="G51" s="13" t="str">
        <f>IF($A$1="Português",G52,IF($A$1="English",G53,IF($A$1="Español",G54,IF($A$1="Français",G55,))))</f>
        <v>(Aplicável em espaços de 9m2 com 3 frentes)</v>
      </c>
    </row>
    <row r="52" spans="3:9" ht="12" customHeight="1" x14ac:dyDescent="0.2">
      <c r="C52" s="22" t="s">
        <v>1015</v>
      </c>
      <c r="E52" s="22" t="s">
        <v>797</v>
      </c>
      <c r="G52" s="22" t="s">
        <v>1151</v>
      </c>
    </row>
    <row r="53" spans="3:9" ht="12" customHeight="1" x14ac:dyDescent="0.2">
      <c r="C53" s="22" t="s">
        <v>1016</v>
      </c>
      <c r="E53" s="22" t="s">
        <v>798</v>
      </c>
      <c r="G53" s="22" t="s">
        <v>1152</v>
      </c>
    </row>
    <row r="54" spans="3:9" ht="12" customHeight="1" x14ac:dyDescent="0.2">
      <c r="C54" s="22" t="s">
        <v>1017</v>
      </c>
      <c r="E54" s="22" t="s">
        <v>799</v>
      </c>
      <c r="G54" s="22" t="s">
        <v>1153</v>
      </c>
    </row>
    <row r="55" spans="3:9" ht="12" customHeight="1" x14ac:dyDescent="0.2">
      <c r="C55" s="22" t="s">
        <v>1018</v>
      </c>
      <c r="E55" s="22" t="s">
        <v>800</v>
      </c>
      <c r="G55" s="22" t="s">
        <v>1154</v>
      </c>
    </row>
  </sheetData>
  <sheetProtection select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F219-3749-44C7-85C8-BF6286D4AF3B}">
  <dimension ref="A1:A27"/>
  <sheetViews>
    <sheetView showGridLines="0" workbookViewId="0">
      <selection activeCell="H2" sqref="H2:I3"/>
    </sheetView>
  </sheetViews>
  <sheetFormatPr defaultRowHeight="13.2" x14ac:dyDescent="0.25"/>
  <cols>
    <col min="1" max="1" width="128.109375" customWidth="1"/>
  </cols>
  <sheetData>
    <row r="1" spans="1:1" ht="13.8" thickBot="1" x14ac:dyDescent="0.3">
      <c r="A1" s="20" t="str">
        <f>Serviços!$L$1</f>
        <v>Português</v>
      </c>
    </row>
    <row r="3" spans="1:1" s="44" customFormat="1" ht="10.199999999999999" x14ac:dyDescent="0.2">
      <c r="A3" s="19" t="str">
        <f>IF($A$1="Português",A4,IF($A$1="English",A5,IF($A$1="Español",A6,IF($A$1="Français",A7,))))</f>
        <v>A redução ou a eliminação de elementos que constituam a estrutura do stand, não implicam uma redução de custos.</v>
      </c>
    </row>
    <row r="4" spans="1:1" s="44" customFormat="1" ht="10.199999999999999" x14ac:dyDescent="0.2">
      <c r="A4" s="96" t="s">
        <v>884</v>
      </c>
    </row>
    <row r="5" spans="1:1" s="44" customFormat="1" ht="10.199999999999999" x14ac:dyDescent="0.2">
      <c r="A5" s="97" t="s">
        <v>885</v>
      </c>
    </row>
    <row r="6" spans="1:1" s="44" customFormat="1" ht="10.199999999999999" x14ac:dyDescent="0.2">
      <c r="A6" s="98" t="s">
        <v>886</v>
      </c>
    </row>
    <row r="7" spans="1:1" s="44" customFormat="1" ht="10.199999999999999" x14ac:dyDescent="0.2">
      <c r="A7" s="99" t="s">
        <v>901</v>
      </c>
    </row>
    <row r="8" spans="1:1" s="44" customFormat="1" ht="10.199999999999999" x14ac:dyDescent="0.2">
      <c r="A8" s="19" t="str">
        <f>IF($A$1="Português",A9,IF($A$1="English",A10,IF($A$1="Español",A11,IF($A$1="Français",A12,))))</f>
        <v>Todo o material utilizado no stand, é alugado, pelo que qualquer dano provocado, o expositor terá que assumir os custos.</v>
      </c>
    </row>
    <row r="9" spans="1:1" s="44" customFormat="1" ht="10.199999999999999" x14ac:dyDescent="0.2">
      <c r="A9" s="96" t="s">
        <v>887</v>
      </c>
    </row>
    <row r="10" spans="1:1" s="44" customFormat="1" ht="10.199999999999999" x14ac:dyDescent="0.2">
      <c r="A10" s="97" t="s">
        <v>888</v>
      </c>
    </row>
    <row r="11" spans="1:1" s="44" customFormat="1" ht="10.199999999999999" x14ac:dyDescent="0.2">
      <c r="A11" s="98" t="s">
        <v>889</v>
      </c>
    </row>
    <row r="12" spans="1:1" s="44" customFormat="1" ht="10.199999999999999" x14ac:dyDescent="0.2">
      <c r="A12" s="99" t="s">
        <v>890</v>
      </c>
    </row>
    <row r="13" spans="1:1" s="44" customFormat="1" ht="30.6" x14ac:dyDescent="0.2">
      <c r="A13" s="19" t="str">
        <f>IF($A$1="Português",A14,IF($A$1="English",A15,IF($A$1="Español",A16,IF($A$1="Français",A17,))))</f>
        <v>Soluções especificas para a sua participação, desde o projecto à realização.
De acordo com os objectivos que visa atingir com a sua presença no evento, a FIL projecta um stand à sua imagem e conforme os seus requisitos de marketing e orçamento. Indique o seu interesse nesta opção e será brevemente contactado pelos nossos serviços.</v>
      </c>
    </row>
    <row r="14" spans="1:1" s="44" customFormat="1" ht="30.6" x14ac:dyDescent="0.2">
      <c r="A14" s="43" t="s">
        <v>600</v>
      </c>
    </row>
    <row r="15" spans="1:1" s="44" customFormat="1" ht="30.6" x14ac:dyDescent="0.2">
      <c r="A15" s="54" t="s">
        <v>601</v>
      </c>
    </row>
    <row r="16" spans="1:1" s="44" customFormat="1" ht="30.6" x14ac:dyDescent="0.2">
      <c r="A16" s="43" t="s">
        <v>602</v>
      </c>
    </row>
    <row r="17" spans="1:1" s="44" customFormat="1" ht="30.6" x14ac:dyDescent="0.2">
      <c r="A17" s="53" t="s">
        <v>603</v>
      </c>
    </row>
    <row r="18" spans="1:1" s="44" customFormat="1" ht="10.199999999999999" x14ac:dyDescent="0.2">
      <c r="A18" s="19" t="str">
        <f>IF($A$1="Português",A19,IF($A$1="English",A20,IF($A$1="Español",A21,IF($A$1="Français",A22,))))</f>
        <v>Estrutura central em perfis de madeira de secção quadrada com 10 cm, pintados de branco (3,00 x 3,00 x 5,00 alt.)</v>
      </c>
    </row>
    <row r="19" spans="1:1" x14ac:dyDescent="0.25">
      <c r="A19" s="218" t="s">
        <v>560</v>
      </c>
    </row>
    <row r="20" spans="1:1" x14ac:dyDescent="0.25">
      <c r="A20" s="218" t="s">
        <v>562</v>
      </c>
    </row>
    <row r="21" spans="1:1" x14ac:dyDescent="0.25">
      <c r="A21" s="213" t="s">
        <v>561</v>
      </c>
    </row>
    <row r="22" spans="1:1" x14ac:dyDescent="0.25">
      <c r="A22" s="211" t="s">
        <v>563</v>
      </c>
    </row>
    <row r="23" spans="1:1" x14ac:dyDescent="0.25">
      <c r="A23" s="19" t="str">
        <f>IF($A$1="Português",A24,IF($A$1="English",A25,IF($A$1="Español",A26,IF($A$1="Français",A27,))))</f>
        <v>Balcão curvo com 1 m de altura e prateleira interior na mesma estrutura do stand</v>
      </c>
    </row>
    <row r="24" spans="1:1" x14ac:dyDescent="0.25">
      <c r="A24" s="22" t="s">
        <v>45</v>
      </c>
    </row>
    <row r="25" spans="1:1" x14ac:dyDescent="0.25">
      <c r="A25" s="211" t="s">
        <v>47</v>
      </c>
    </row>
    <row r="26" spans="1:1" x14ac:dyDescent="0.25">
      <c r="A26" s="211" t="s">
        <v>49</v>
      </c>
    </row>
    <row r="27" spans="1:1" x14ac:dyDescent="0.25">
      <c r="A27" s="211" t="s">
        <v>51</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Serviços</vt:lpstr>
      <vt:lpstr>Ler+</vt:lpstr>
      <vt:lpstr>Stand</vt:lpstr>
      <vt:lpstr>T1</vt:lpstr>
      <vt:lpstr>T2</vt:lpstr>
      <vt:lpstr>L1</vt:lpstr>
      <vt:lpstr>L2</vt:lpstr>
      <vt:lpstr>S1</vt:lpstr>
      <vt:lpstr>S2</vt:lpstr>
      <vt:lpstr>'Ler+'!Print_Area</vt:lpstr>
      <vt:lpstr>Serviços!Print_Area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2023-07-14T15:38:16Z</cp:lastPrinted>
  <dcterms:created xsi:type="dcterms:W3CDTF">2010-07-14T14:04:12Z</dcterms:created>
  <dcterms:modified xsi:type="dcterms:W3CDTF">2023-09-05T14:22:16Z</dcterms:modified>
</cp:coreProperties>
</file>